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7530" activeTab="0"/>
  </bookViews>
  <sheets>
    <sheet name="Overview" sheetId="1" r:id="rId1"/>
    <sheet name="Multi-stream" sheetId="2" r:id="rId2"/>
    <sheet name="QNAP" sheetId="3" r:id="rId3"/>
    <sheet name="Camera Calculator" sheetId="4" r:id="rId4"/>
  </sheets>
  <definedNames>
    <definedName name="_xlnm._FilterDatabase" localSheetId="1" hidden="1">'Multi-stream'!$A$1:$G$1</definedName>
    <definedName name="_xlnm._FilterDatabase" localSheetId="2" hidden="1">'QNAP'!$A$1:$F$28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andrew</author>
  </authors>
  <commentList>
    <comment ref="E112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network throughput</t>
        </r>
      </text>
    </comment>
    <comment ref="F112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video decode</t>
        </r>
      </text>
    </comment>
    <comment ref="E113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local playback</t>
        </r>
      </text>
    </comment>
    <comment ref="B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使用的</t>
        </r>
        <r>
          <rPr>
            <sz val="9"/>
            <rFont val="Tahoma"/>
            <family val="2"/>
          </rPr>
          <t>local display</t>
        </r>
        <r>
          <rPr>
            <sz val="9"/>
            <rFont val="細明體"/>
            <family val="3"/>
          </rPr>
          <t>攝影機總合</t>
        </r>
      </text>
    </comment>
    <comment ref="D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硬碟最大</t>
        </r>
        <r>
          <rPr>
            <sz val="9"/>
            <rFont val="Tahoma"/>
            <family val="2"/>
          </rPr>
          <t>TB</t>
        </r>
      </text>
    </comment>
    <comment ref="E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錄影攝影機總合</t>
        </r>
      </text>
    </comment>
    <comment ref="F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監看攝影機總合</t>
        </r>
      </text>
    </comment>
    <comment ref="H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有無支援</t>
        </r>
        <r>
          <rPr>
            <sz val="9"/>
            <rFont val="Tahoma"/>
            <family val="2"/>
          </rPr>
          <t>local display</t>
        </r>
      </text>
    </comment>
    <comment ref="I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建議的</t>
        </r>
        <r>
          <rPr>
            <sz val="9"/>
            <rFont val="Tahoma"/>
            <family val="2"/>
          </rPr>
          <t>CPU</t>
        </r>
        <r>
          <rPr>
            <sz val="9"/>
            <rFont val="細明體"/>
            <family val="3"/>
          </rPr>
          <t>使用率上限</t>
        </r>
      </text>
    </comment>
    <comment ref="K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Local display </t>
        </r>
        <r>
          <rPr>
            <sz val="9"/>
            <rFont val="細明體"/>
            <family val="3"/>
          </rPr>
          <t>連接攝影機</t>
        </r>
      </text>
    </comment>
    <comment ref="L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playback</t>
        </r>
        <r>
          <rPr>
            <sz val="9"/>
            <rFont val="細明體"/>
            <family val="3"/>
          </rPr>
          <t>攝影機</t>
        </r>
      </text>
    </comment>
    <comment ref="M115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MxPEG </t>
        </r>
        <r>
          <rPr>
            <sz val="9"/>
            <rFont val="細明體"/>
            <family val="3"/>
          </rPr>
          <t>攝影機數量</t>
        </r>
      </text>
    </comment>
    <comment ref="I112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Software decode</t>
        </r>
      </text>
    </comment>
    <comment ref="K112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Hardware decode</t>
        </r>
      </text>
    </comment>
    <comment ref="L112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Hardware decoede - CPU</t>
        </r>
      </text>
    </comment>
  </commentList>
</comments>
</file>

<file path=xl/comments2.xml><?xml version="1.0" encoding="utf-8"?>
<comments xmlns="http://schemas.openxmlformats.org/spreadsheetml/2006/main">
  <authors>
    <author>andrew</author>
  </authors>
  <commentList>
    <comment ref="D1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The following stream will be chosen to show when using stream from camera in remote monitoring</t>
        </r>
      </text>
    </comment>
    <comment ref="E1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The following streams will be chosen to show when using stream from server in remote monitoring</t>
        </r>
      </text>
    </comment>
    <comment ref="F1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The following streams will be chosen to show in local monitoring</t>
        </r>
      </text>
    </comment>
  </commentList>
</comments>
</file>

<file path=xl/sharedStrings.xml><?xml version="1.0" encoding="utf-8"?>
<sst xmlns="http://schemas.openxmlformats.org/spreadsheetml/2006/main" count="1477" uniqueCount="520">
  <si>
    <t>H.264</t>
  </si>
  <si>
    <t>VS-2008L</t>
  </si>
  <si>
    <t>VS-2004L</t>
  </si>
  <si>
    <t>Mbps</t>
  </si>
  <si>
    <t>Recording resolution</t>
  </si>
  <si>
    <t>CIF</t>
  </si>
  <si>
    <t>VGA</t>
  </si>
  <si>
    <t>1.3M</t>
  </si>
  <si>
    <t>4M</t>
  </si>
  <si>
    <t>5M</t>
  </si>
  <si>
    <t>10M</t>
  </si>
  <si>
    <t>3M</t>
  </si>
  <si>
    <t>VS-1004L</t>
  </si>
  <si>
    <t>Streaming from server</t>
  </si>
  <si>
    <t>Same as recording</t>
  </si>
  <si>
    <t>=&gt;</t>
  </si>
  <si>
    <t>Product Model</t>
  </si>
  <si>
    <t>Supported Channels</t>
  </si>
  <si>
    <t>VS-4012U-RP Pro</t>
  </si>
  <si>
    <t>VS-4008U-RP Pro</t>
  </si>
  <si>
    <t>Form Factor</t>
  </si>
  <si>
    <t>Tower</t>
  </si>
  <si>
    <t>Rack monut</t>
  </si>
  <si>
    <t>Local Display</t>
  </si>
  <si>
    <t>Yes</t>
  </si>
  <si>
    <t>No</t>
  </si>
  <si>
    <t>HDD No.</t>
  </si>
  <si>
    <t>VS-4016U-RP Pro</t>
  </si>
  <si>
    <t>VS-12148U-RP Pro</t>
  </si>
  <si>
    <t>VS-12140U-RP Pro</t>
  </si>
  <si>
    <t>VS-8148U-RP Pro</t>
  </si>
  <si>
    <t>VS-8140U-RP Pro</t>
  </si>
  <si>
    <t>VS-8132U-RP Pro</t>
  </si>
  <si>
    <t>VS-8124U-RP Pro</t>
  </si>
  <si>
    <t>VS-8148 Pro+</t>
  </si>
  <si>
    <t>VS-8140 Pro+</t>
  </si>
  <si>
    <t>VS-8132 Pro+</t>
  </si>
  <si>
    <t>VS-8124 Pro+</t>
  </si>
  <si>
    <t>VS-2012 Pro</t>
  </si>
  <si>
    <t>VS-2008 Pro</t>
  </si>
  <si>
    <t>VS-2004 Pro</t>
  </si>
  <si>
    <t>VS-2008L</t>
  </si>
  <si>
    <t>Portable</t>
  </si>
  <si>
    <t>VS-2004L</t>
  </si>
  <si>
    <t>M-JPEG/VGA</t>
  </si>
  <si>
    <t>Suggested Network Throughput</t>
  </si>
  <si>
    <t>*Required</t>
  </si>
  <si>
    <t>Live view bandwidth (Mbps, megabits per second)</t>
  </si>
  <si>
    <t>VS-12164U-RP Pro</t>
  </si>
  <si>
    <t>Rack monut</t>
  </si>
  <si>
    <t>Yes</t>
  </si>
  <si>
    <t>VS-12156U-RP Pro</t>
  </si>
  <si>
    <t>Streaming from server</t>
  </si>
  <si>
    <t>Streaming from camera</t>
  </si>
  <si>
    <t>No remote monitoring</t>
  </si>
  <si>
    <t>M-JPEG/720P</t>
  </si>
  <si>
    <r>
      <t>Total live view bandwidth (Mbps, megabits per second)</t>
    </r>
    <r>
      <rPr>
        <sz val="12"/>
        <color indexed="10"/>
        <rFont val="Calibri"/>
        <family val="2"/>
      </rPr>
      <t>**</t>
    </r>
  </si>
  <si>
    <r>
      <rPr>
        <sz val="12"/>
        <color indexed="10"/>
        <rFont val="Calibri"/>
        <family val="2"/>
      </rPr>
      <t>**</t>
    </r>
    <r>
      <rPr>
        <sz val="12"/>
        <rFont val="Calibri"/>
        <family val="2"/>
      </rPr>
      <t xml:space="preserve"> The total bandwidth is the largest amount of network capacity provided by the VioStor NVR for data streaming on LAN or the Internet. Please reserve 20% or more bandwidth to guarantee more stable connection and higher quality of viewing.</t>
    </r>
  </si>
  <si>
    <t>Same as recording</t>
  </si>
  <si>
    <t>M-JPEG/VGA</t>
  </si>
  <si>
    <t>Camera Model</t>
  </si>
  <si>
    <t>Recording Settings</t>
  </si>
  <si>
    <t>Stream from Camera</t>
  </si>
  <si>
    <t>Stream from Server</t>
  </si>
  <si>
    <t>Local Display</t>
  </si>
  <si>
    <t>Notes</t>
  </si>
  <si>
    <t>A-MTK</t>
  </si>
  <si>
    <t>AM6221, AM9539</t>
  </si>
  <si>
    <t>Any</t>
  </si>
  <si>
    <t>320x240, 640x480</t>
  </si>
  <si>
    <t>Axis</t>
  </si>
  <si>
    <t>AM9120, AM9130, AM9260M</t>
  </si>
  <si>
    <t>AM9060, AM9730</t>
  </si>
  <si>
    <t>320x240, 480x360, 640x480, 800x600, 1024x768, 1280x960</t>
  </si>
  <si>
    <t>ACTi</t>
  </si>
  <si>
    <t>Same as recording setting</t>
  </si>
  <si>
    <t>User can define resolution and fps for second stream on cameras' page. Default resolution is VGA.</t>
  </si>
  <si>
    <t>Arecont Vision</t>
  </si>
  <si>
    <t>Full size, half size</t>
  </si>
  <si>
    <t>Monitor will get full size image only when digital zoom is enabled.</t>
  </si>
  <si>
    <t>207M, 216M, 211M</t>
  </si>
  <si>
    <t>Q6032</t>
  </si>
  <si>
    <t>x</t>
  </si>
  <si>
    <t>Q1755</t>
  </si>
  <si>
    <t>Brickcom</t>
  </si>
  <si>
    <t>When Quality &gt; 3 or bitrate &gt; 1500, if we enable multi-stream, motion detection is not supported</t>
  </si>
  <si>
    <t>500 series</t>
  </si>
  <si>
    <t>Canon</t>
  </si>
  <si>
    <t>Cisco</t>
  </si>
  <si>
    <t>Vivotek library</t>
  </si>
  <si>
    <t>D-Link</t>
  </si>
  <si>
    <t>Edimax</t>
  </si>
  <si>
    <t>Etrovision</t>
  </si>
  <si>
    <t>GANZ</t>
  </si>
  <si>
    <t>All models</t>
  </si>
  <si>
    <t>Vivotek library:  7135_1, 7135_2,  IP7131, 7100, FD7131.</t>
  </si>
  <si>
    <t>Hikvision</t>
  </si>
  <si>
    <t>Recording stream, second stream which needs to be configured on camera's page</t>
  </si>
  <si>
    <t>iPUX</t>
  </si>
  <si>
    <t>IQeye</t>
  </si>
  <si>
    <t>320x240, 640x480, maximum resolution supported by the cameras</t>
  </si>
  <si>
    <t>LevelOne</t>
  </si>
  <si>
    <t>Linksys</t>
  </si>
  <si>
    <t>MESSOA</t>
  </si>
  <si>
    <t>MOBOTIX</t>
  </si>
  <si>
    <t>Others</t>
  </si>
  <si>
    <t>Sollo</t>
  </si>
  <si>
    <t>Panasonic</t>
  </si>
  <si>
    <t>All BB/BL series excluding BB-HCM515</t>
  </si>
  <si>
    <t>320x240</t>
  </si>
  <si>
    <t>BB-HCM515</t>
  </si>
  <si>
    <t>320x240, 640x480, 1280x1024</t>
  </si>
  <si>
    <t>Panasonic i-Pro</t>
  </si>
  <si>
    <t>All excluding NP1000, NP502, SP102, SP105, SP304, SP305, SP306, SF334, SF335, SC384, SC385, SW355, SW395, SF336</t>
  </si>
  <si>
    <t>NP1000</t>
  </si>
  <si>
    <t>NP502, SP304</t>
  </si>
  <si>
    <t>SP305, SP306, SF334, SF335, SC384, SC385, SW355, SW395, SP105, SF336</t>
  </si>
  <si>
    <t>SP102</t>
  </si>
  <si>
    <t>QNAP</t>
  </si>
  <si>
    <t>NAC300</t>
  </si>
  <si>
    <t>Sanyo</t>
  </si>
  <si>
    <t>All excluding HD series</t>
  </si>
  <si>
    <t>HD2100, HD2300, HD3100, HD3300</t>
  </si>
  <si>
    <t>640x360</t>
  </si>
  <si>
    <t>640x480</t>
  </si>
  <si>
    <t>1280x720</t>
  </si>
  <si>
    <t>640x480, 1280x960</t>
  </si>
  <si>
    <t>1280x960</t>
  </si>
  <si>
    <t>640x360, 1280x720</t>
  </si>
  <si>
    <t>HD4600</t>
  </si>
  <si>
    <t>SHANY</t>
  </si>
  <si>
    <t>SONY</t>
  </si>
  <si>
    <t>CH110/120/140/160/180, DH110/120/120T/140/160/180, ER/EP550</t>
  </si>
  <si>
    <t>3.5.3 beta</t>
  </si>
  <si>
    <t>CH210/220/240/260/280, DH210/220/240/260/280, ER/EP580</t>
  </si>
  <si>
    <t>H264: 1920x1080 @ 30FPS</t>
  </si>
  <si>
    <t>ER/EP520, ER/EP521</t>
  </si>
  <si>
    <t>320x240, 384x288</t>
  </si>
  <si>
    <t>All resolution excluding 320x240, 384x288, FPS &gt; 15</t>
  </si>
  <si>
    <t>All resolution excluding 320x240, 384x288, FPS &lt; 15</t>
  </si>
  <si>
    <t>TOA</t>
  </si>
  <si>
    <t>320x240, 720x480</t>
  </si>
  <si>
    <t>Toshiba</t>
  </si>
  <si>
    <t>TRENDNet</t>
  </si>
  <si>
    <t>VIDEOSEC</t>
  </si>
  <si>
    <t>VIOSECURE</t>
  </si>
  <si>
    <t>AC930M, VFD150HQIP</t>
  </si>
  <si>
    <t>EV241X, AC3530HQIP</t>
  </si>
  <si>
    <t>VIVOTEK</t>
  </si>
  <si>
    <t>3000 series</t>
  </si>
  <si>
    <t>6000, 7000 series</t>
  </si>
  <si>
    <t>FD8133, FD8134, IP8162, IP8362, IP8132, FD8162, IP8352, MD8562, IP8133, IP8151</t>
  </si>
  <si>
    <t>IP8362</t>
  </si>
  <si>
    <t>8000 series, excluding FD8133, FD8134, IP8162, IP8362, IP8132, FD8162, IP8352, MD8562, IP8133, IP8151, IP8362</t>
  </si>
  <si>
    <t>Y-CAM</t>
  </si>
  <si>
    <r>
      <rPr>
        <sz val="12"/>
        <color indexed="51"/>
        <rFont val="Arial"/>
        <family val="2"/>
      </rPr>
      <t>→</t>
    </r>
  </si>
  <si>
    <t>AXIS</t>
  </si>
  <si>
    <t>http://www.axis.com/zh/products/video/design_tool/v2/</t>
  </si>
  <si>
    <t>ACTi</t>
  </si>
  <si>
    <t>Vivotek</t>
  </si>
  <si>
    <t>http://www.vivotek.com/downloadfiles/support/faq/24_calculator.zip</t>
  </si>
  <si>
    <t>IQinVision</t>
  </si>
  <si>
    <t>http://www.iqeye.com/storage-calculator.html</t>
  </si>
  <si>
    <t>Arecont Vision</t>
  </si>
  <si>
    <t>http://www.arecontvision.com/supports/bandwidth-calculator</t>
  </si>
  <si>
    <t>http://es.brickcom.com/support/calculator.php</t>
  </si>
  <si>
    <t>Brickcom</t>
  </si>
  <si>
    <t>Panasonic</t>
  </si>
  <si>
    <t>http://panasonic.net/pcc/support/netwkcam/technic/rcrdr_calculator/index.html</t>
  </si>
  <si>
    <t>No</t>
  </si>
  <si>
    <t>No</t>
  </si>
  <si>
    <t>Medium</t>
  </si>
  <si>
    <t>http://www.acti.com/project_planner/WEBSITE/storage.html</t>
  </si>
  <si>
    <t>Camera Brand</t>
  </si>
  <si>
    <t>Calculator Link</t>
  </si>
  <si>
    <t>Low</t>
  </si>
  <si>
    <t>Application</t>
  </si>
  <si>
    <t>O</t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</si>
  <si>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Choose </t>
    </r>
    <r>
      <rPr>
        <b/>
        <sz val="12"/>
        <rFont val="Calibri"/>
        <family val="2"/>
      </rPr>
      <t>video compression for recording</t>
    </r>
  </si>
  <si>
    <t>H.264(High profile)</t>
  </si>
  <si>
    <t>H.264</t>
  </si>
  <si>
    <t>MPEG-4</t>
  </si>
  <si>
    <t>M-JPEG</t>
  </si>
  <si>
    <t>Step 3. Recording FPS</t>
  </si>
  <si>
    <r>
      <rPr>
        <b/>
        <sz val="12"/>
        <rFont val="Calibri"/>
        <family val="2"/>
      </rPr>
      <t>Step 5.</t>
    </r>
    <r>
      <rPr>
        <sz val="12"/>
        <rFont val="Calibri"/>
        <family val="2"/>
      </rPr>
      <t xml:space="preserve"> Estimated </t>
    </r>
    <r>
      <rPr>
        <b/>
        <sz val="12"/>
        <rFont val="Calibri"/>
        <family val="2"/>
      </rPr>
      <t>motion frequency</t>
    </r>
    <r>
      <rPr>
        <sz val="12"/>
        <rFont val="Calibri"/>
        <family val="2"/>
      </rPr>
      <t xml:space="preserve"> in the field of view</t>
    </r>
  </si>
  <si>
    <t>Normal</t>
  </si>
  <si>
    <t>Yes</t>
  </si>
  <si>
    <r>
      <rPr>
        <b/>
        <sz val="12"/>
        <rFont val="Calibri"/>
        <family val="2"/>
      </rPr>
      <t>Step 7.</t>
    </r>
    <r>
      <rPr>
        <sz val="12"/>
        <rFont val="Calibri"/>
        <family val="2"/>
      </rPr>
      <t xml:space="preserve"> Enter </t>
    </r>
    <r>
      <rPr>
        <b/>
        <sz val="12"/>
        <rFont val="Calibri"/>
        <family val="2"/>
      </rPr>
      <t>recording hours</t>
    </r>
    <r>
      <rPr>
        <sz val="12"/>
        <rFont val="Calibri"/>
        <family val="2"/>
      </rPr>
      <t xml:space="preserve"> (per day)</t>
    </r>
  </si>
  <si>
    <t xml:space="preserve">  Estimated bit rare (Mbps, megabits per second)</t>
  </si>
  <si>
    <r>
      <t xml:space="preserve">  Total recording bandwidth (Mbps, megabits per second)</t>
    </r>
    <r>
      <rPr>
        <sz val="12"/>
        <color indexed="10"/>
        <rFont val="Calibri"/>
        <family val="2"/>
      </rPr>
      <t>**</t>
    </r>
  </si>
  <si>
    <t>(Optional)</t>
  </si>
  <si>
    <t xml:space="preserve">  C. Estimated CPU usage for other application, such as RAID rebuilding and recovery, remote replication, and video backup</t>
  </si>
  <si>
    <t>resolution ratio</t>
  </si>
  <si>
    <t>compression</t>
  </si>
  <si>
    <t>quality</t>
  </si>
  <si>
    <t>motion</t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</si>
  <si>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Choose </t>
    </r>
    <r>
      <rPr>
        <b/>
        <sz val="12"/>
        <rFont val="Calibri"/>
        <family val="2"/>
      </rPr>
      <t>streaming source for remote monitoring</t>
    </r>
  </si>
  <si>
    <t xml:space="preserve">  Estimated file size of the recordings (GB per day)</t>
  </si>
  <si>
    <t>O</t>
  </si>
  <si>
    <t>.</t>
  </si>
  <si>
    <t>, and estimated bit rate of MJPEG/720P for streaming from server is</t>
  </si>
  <si>
    <t>Video decoding index</t>
  </si>
  <si>
    <r>
      <t>Total video playback bandwidth (Mbps, megabits per second)</t>
    </r>
    <r>
      <rPr>
        <sz val="12"/>
        <color indexed="10"/>
        <rFont val="Calibri"/>
        <family val="2"/>
      </rPr>
      <t>**</t>
    </r>
  </si>
  <si>
    <t>Vidoe playback bandwidth (Mbps, megabits per second)</t>
  </si>
  <si>
    <t>d) You can check "Camera Calculator" tab to use camera vendor's calculator for estimated bit rate.</t>
  </si>
  <si>
    <t>a) All the IP cameras and the NVR are connected to Gigabit LAN switch.</t>
  </si>
  <si>
    <t>b) All the devices are connected to the local area network (LAN).</t>
  </si>
  <si>
    <t>↓</t>
  </si>
  <si>
    <t>M-JPEG/720P</t>
  </si>
  <si>
    <r>
      <t xml:space="preserve">  A. </t>
    </r>
    <r>
      <rPr>
        <b/>
        <sz val="12"/>
        <rFont val="Calibri"/>
        <family val="2"/>
      </rPr>
      <t>Estimated CPU loading</t>
    </r>
    <r>
      <rPr>
        <sz val="12"/>
        <rFont val="Calibri"/>
        <family val="2"/>
      </rPr>
      <t xml:space="preserve"> for suggested VioStor NVR model</t>
    </r>
  </si>
  <si>
    <r>
      <t xml:space="preserve">  B. </t>
    </r>
    <r>
      <rPr>
        <b/>
        <sz val="12"/>
        <rFont val="Calibri"/>
        <family val="2"/>
      </rPr>
      <t>Storage rollover time</t>
    </r>
    <r>
      <rPr>
        <sz val="12"/>
        <rFont val="Calibri"/>
        <family val="2"/>
      </rPr>
      <t xml:space="preserve"> for suggested VioStor NVR model</t>
    </r>
  </si>
  <si>
    <t xml:space="preserve">  A. Estimated CPU usaage for video recording/ remote monitoring/ remote playback</t>
  </si>
  <si>
    <t xml:space="preserve">  B. Estimated CPU usage for local display/ local playback</t>
  </si>
  <si>
    <t>Please contact QNAP</t>
  </si>
  <si>
    <r>
      <t xml:space="preserve">  Total estimated file size of recordings (per day)</t>
    </r>
    <r>
      <rPr>
        <sz val="12"/>
        <color indexed="10"/>
        <rFont val="Calibri"/>
        <family val="2"/>
      </rPr>
      <t>*</t>
    </r>
  </si>
  <si>
    <t>為避免值小時，於非線性公式的誤判</t>
  </si>
  <si>
    <t xml:space="preserve">       Remote monitoring on Mac client</t>
  </si>
  <si>
    <t xml:space="preserve">       Remote monitoring on Windows</t>
  </si>
  <si>
    <t xml:space="preserve">       Remote playback on Mac client</t>
  </si>
  <si>
    <t xml:space="preserve">       Remote playback on Windows</t>
  </si>
  <si>
    <t xml:space="preserve">       Local playback</t>
  </si>
  <si>
    <t xml:space="preserve">  Estimated bit rare per camera (Mbps, megabits per second)</t>
  </si>
  <si>
    <t>TB</t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</si>
  <si>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Choose </t>
    </r>
    <r>
      <rPr>
        <b/>
        <sz val="12"/>
        <rFont val="Calibri"/>
        <family val="2"/>
      </rPr>
      <t>video resolution for remote monitoring</t>
    </r>
    <r>
      <rPr>
        <sz val="12"/>
        <color indexed="10"/>
        <rFont val="Calibri"/>
        <family val="2"/>
      </rPr>
      <t>****</t>
    </r>
  </si>
  <si>
    <r>
      <rPr>
        <sz val="12"/>
        <color indexed="10"/>
        <rFont val="Calibri"/>
        <family val="2"/>
      </rPr>
      <t>****</t>
    </r>
    <r>
      <rPr>
        <sz val="12"/>
        <rFont val="Calibri"/>
        <family val="2"/>
      </rPr>
      <t xml:space="preserve"> Estimated bit rate of MJPEG/VGA for streaming from server is</t>
    </r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</si>
  <si>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Choose </t>
    </r>
    <r>
      <rPr>
        <b/>
        <sz val="12"/>
        <rFont val="Calibri"/>
        <family val="2"/>
      </rPr>
      <t>video resolution/compression for local monitoring</t>
    </r>
    <r>
      <rPr>
        <sz val="12"/>
        <color indexed="10"/>
        <rFont val="Calibri"/>
        <family val="2"/>
      </rPr>
      <t>*****</t>
    </r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</si>
  <si>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Choose </t>
    </r>
    <r>
      <rPr>
        <b/>
        <sz val="12"/>
        <rFont val="Calibri"/>
        <family val="2"/>
      </rPr>
      <t>video resolution/compression for remote monitoring</t>
    </r>
    <r>
      <rPr>
        <sz val="12"/>
        <color indexed="10"/>
        <rFont val="Calibri"/>
        <family val="2"/>
      </rPr>
      <t>****</t>
    </r>
  </si>
  <si>
    <t>Single</t>
  </si>
  <si>
    <r>
      <t xml:space="preserve">If you have </t>
    </r>
    <r>
      <rPr>
        <b/>
        <sz val="12"/>
        <rFont val="Calibri"/>
        <family val="2"/>
      </rPr>
      <t>preferred VioStor NVR model and disk configuration</t>
    </r>
    <r>
      <rPr>
        <sz val="12"/>
        <rFont val="Calibri"/>
        <family val="2"/>
      </rPr>
      <t>, please choose it from the drop-down menu.</t>
    </r>
  </si>
  <si>
    <t>Please change disk configuration</t>
  </si>
  <si>
    <t>No support</t>
  </si>
  <si>
    <t>This model doesn't support local display</t>
  </si>
  <si>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The actual hard drive capacity required depends on the system configuration and sometimes the variation can be quite large. </t>
    </r>
    <r>
      <rPr>
        <b/>
        <sz val="12"/>
        <rFont val="Calibri"/>
        <family val="2"/>
      </rPr>
      <t>Please reserve 15% or more hard drive space for recording.</t>
    </r>
  </si>
  <si>
    <r>
      <rPr>
        <sz val="12"/>
        <color indexed="10"/>
        <rFont val="Calibri"/>
        <family val="2"/>
      </rPr>
      <t xml:space="preserve">*** </t>
    </r>
    <r>
      <rPr>
        <sz val="12"/>
        <rFont val="Calibri"/>
        <family val="2"/>
      </rPr>
      <t>For RAID 1, the total array capacity is minimum storage capacity of one of installed HDDs. For RAID 5, the total array capacity is (n-1) * minimum storage capacity of one of installed HDDs. For RAID 6, the total array capacity is (n-2) * minimum storage capacity of one of installed HDDs.
n = number of installed HDDs</t>
    </r>
  </si>
  <si>
    <t>MxPEG</t>
  </si>
  <si>
    <t>Local display</t>
  </si>
  <si>
    <t>Local playback</t>
  </si>
  <si>
    <t>f) The results from the calculator are only for reference.  Please reserve more CPU usage and bandwidth for stable operation.</t>
  </si>
  <si>
    <t>VS-6112 Pro+</t>
  </si>
  <si>
    <t>VS-6116 Pro+</t>
  </si>
  <si>
    <t>VS-6120 Pro+</t>
  </si>
  <si>
    <t>VS-6120 Pro+</t>
  </si>
  <si>
    <t>VS-4112 Pro+</t>
  </si>
  <si>
    <t>VS-4116 Pro+</t>
  </si>
  <si>
    <t>VS-4108 Pro+</t>
  </si>
  <si>
    <t>QNAP Surveillance Tool</t>
  </si>
  <si>
    <t>QNAP Surveillance Tool helps you estimate bandwidth and storage needs for your surveillance project and the estimated CPU loading of QNAP NVR.</t>
  </si>
  <si>
    <t>Applied environment:</t>
  </si>
  <si>
    <t>c) You can check "Multi-stream" tab for more information about the camera and its multi-stream feature.</t>
  </si>
  <si>
    <t>e) When monitoring or playback by the local display, the resolution width or resolution height of the video stream must not exceed 2048.</t>
  </si>
  <si>
    <t>Video Recording</t>
  </si>
  <si>
    <t>720P/1M</t>
  </si>
  <si>
    <t>1080P/2M</t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</si>
  <si>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Enter </t>
    </r>
    <r>
      <rPr>
        <b/>
        <sz val="12"/>
        <rFont val="Calibri"/>
        <family val="2"/>
      </rPr>
      <t>number of cameras for recording</t>
    </r>
  </si>
  <si>
    <r>
      <t xml:space="preserve">Step 4. </t>
    </r>
    <r>
      <rPr>
        <sz val="12"/>
        <rFont val="Calibri"/>
        <family val="2"/>
      </rPr>
      <t xml:space="preserve">Choose </t>
    </r>
    <r>
      <rPr>
        <b/>
        <sz val="12"/>
        <rFont val="Calibri"/>
        <family val="2"/>
      </rPr>
      <t>recording quality</t>
    </r>
  </si>
  <si>
    <t>Highest</t>
  </si>
  <si>
    <t>High</t>
  </si>
  <si>
    <t>Medium</t>
  </si>
  <si>
    <t>Low</t>
  </si>
  <si>
    <t>Lowest</t>
  </si>
  <si>
    <r>
      <rPr>
        <b/>
        <sz val="12"/>
        <rFont val="Calibri"/>
        <family val="2"/>
      </rPr>
      <t>Step 6.</t>
    </r>
    <r>
      <rPr>
        <sz val="12"/>
        <rFont val="Calibri"/>
        <family val="2"/>
      </rPr>
      <t xml:space="preserve"> Low light?</t>
    </r>
  </si>
  <si>
    <r>
      <rPr>
        <b/>
        <sz val="12"/>
        <rFont val="Calibri"/>
        <family val="2"/>
      </rPr>
      <t>Step 3.</t>
    </r>
    <r>
      <rPr>
        <sz val="12"/>
        <rFont val="Calibri"/>
        <family val="2"/>
      </rPr>
      <t xml:space="preserve"> Enter </t>
    </r>
    <r>
      <rPr>
        <b/>
        <sz val="12"/>
        <rFont val="Calibri"/>
        <family val="2"/>
      </rPr>
      <t>number of cameras for remote monitoring</t>
    </r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</si>
  <si>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Enter </t>
    </r>
    <r>
      <rPr>
        <b/>
        <sz val="12"/>
        <rFont val="Calibri"/>
        <family val="2"/>
      </rPr>
      <t>number of cameras for remote playback</t>
    </r>
  </si>
  <si>
    <t>4M</t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</si>
  <si>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Enter </t>
    </r>
    <r>
      <rPr>
        <b/>
        <sz val="12"/>
        <rFont val="Calibri"/>
        <family val="2"/>
      </rPr>
      <t>number of cameras for local monitor</t>
    </r>
    <r>
      <rPr>
        <b/>
        <sz val="12"/>
        <color indexed="10"/>
        <rFont val="Calibri"/>
        <family val="2"/>
      </rPr>
      <t>******</t>
    </r>
  </si>
  <si>
    <t>Total video decoding index</t>
  </si>
  <si>
    <r>
      <rPr>
        <sz val="12"/>
        <color indexed="10"/>
        <rFont val="Calibri"/>
        <family val="2"/>
      </rPr>
      <t>*****</t>
    </r>
    <r>
      <rPr>
        <sz val="12"/>
        <color indexed="8"/>
        <rFont val="Calibri"/>
        <family val="2"/>
      </rPr>
      <t xml:space="preserve"> To know current local monitor resolution, please right click specific channel and go to "Select Stream" on local display interface. </t>
    </r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</si>
  <si>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Enter </t>
    </r>
    <r>
      <rPr>
        <b/>
        <sz val="12"/>
        <rFont val="Calibri"/>
        <family val="2"/>
      </rPr>
      <t>number of cameras for remote monitoring</t>
    </r>
  </si>
  <si>
    <t>Suggested VioStor NVR model and disk configuration</t>
  </si>
  <si>
    <t>Customer request</t>
  </si>
  <si>
    <t xml:space="preserve">       Local display</t>
  </si>
  <si>
    <t xml:space="preserve">       Other applications, such as RAID rebuilding and recovery, remote replication, and video backup</t>
  </si>
  <si>
    <r>
      <t xml:space="preserve">Remote Playback on Windows </t>
    </r>
    <r>
      <rPr>
        <i/>
        <sz val="14"/>
        <rFont val="Calibri"/>
        <family val="2"/>
      </rPr>
      <t xml:space="preserve">(up to </t>
    </r>
    <r>
      <rPr>
        <b/>
        <i/>
        <sz val="14"/>
        <rFont val="Calibri"/>
        <family val="2"/>
      </rPr>
      <t>16-channel playback</t>
    </r>
    <r>
      <rPr>
        <i/>
        <sz val="14"/>
        <rFont val="Calibri"/>
        <family val="2"/>
      </rPr>
      <t xml:space="preserve"> is supported on NVR FW v3.6.0 or above)</t>
    </r>
  </si>
  <si>
    <r>
      <t xml:space="preserve">Local Display </t>
    </r>
    <r>
      <rPr>
        <i/>
        <sz val="14"/>
        <rFont val="Calibri"/>
        <family val="2"/>
      </rPr>
      <t xml:space="preserve">(up to </t>
    </r>
    <r>
      <rPr>
        <b/>
        <i/>
        <sz val="14"/>
        <rFont val="Calibri"/>
        <family val="2"/>
      </rPr>
      <t>16-channel display mode</t>
    </r>
    <r>
      <rPr>
        <i/>
        <sz val="14"/>
        <rFont val="Calibri"/>
        <family val="2"/>
      </rPr>
      <t xml:space="preserve"> is supported on NVR FW v3.6.0 or above</t>
    </r>
    <r>
      <rPr>
        <b/>
        <i/>
        <sz val="14"/>
        <color indexed="10"/>
        <rFont val="Calibri"/>
        <family val="2"/>
      </rPr>
      <t>*****</t>
    </r>
    <r>
      <rPr>
        <i/>
        <sz val="14"/>
        <rFont val="Calibri"/>
        <family val="2"/>
      </rPr>
      <t>)</t>
    </r>
  </si>
  <si>
    <r>
      <t xml:space="preserve">Local Playback </t>
    </r>
    <r>
      <rPr>
        <i/>
        <sz val="14"/>
        <rFont val="Calibri"/>
        <family val="2"/>
      </rPr>
      <t xml:space="preserve">(Only </t>
    </r>
    <r>
      <rPr>
        <b/>
        <i/>
        <sz val="14"/>
        <rFont val="Calibri"/>
        <family val="2"/>
      </rPr>
      <t>single channel</t>
    </r>
    <r>
      <rPr>
        <i/>
        <sz val="14"/>
        <rFont val="Calibri"/>
        <family val="2"/>
      </rPr>
      <t xml:space="preserve"> playback is supported on NVR FW v3.6.0 or above)</t>
    </r>
  </si>
  <si>
    <r>
      <t>Remote Monitoring on Windows</t>
    </r>
    <r>
      <rPr>
        <i/>
        <sz val="14"/>
        <rFont val="Calibri"/>
        <family val="2"/>
      </rPr>
      <t xml:space="preserve"> (up to </t>
    </r>
    <r>
      <rPr>
        <b/>
        <i/>
        <sz val="14"/>
        <rFont val="Calibri"/>
        <family val="2"/>
      </rPr>
      <t>64-channel display mode</t>
    </r>
    <r>
      <rPr>
        <i/>
        <sz val="14"/>
        <rFont val="Calibri"/>
        <family val="2"/>
      </rPr>
      <t xml:space="preserve"> is supported for a monitor on NVR FW v4.0.0 or above)</t>
    </r>
  </si>
  <si>
    <t>Rack mount</t>
  </si>
  <si>
    <t>Form Factor</t>
  </si>
  <si>
    <r>
      <rPr>
        <b/>
        <sz val="14"/>
        <rFont val="Calibri"/>
        <family val="2"/>
      </rPr>
      <t>Total Array Capacity</t>
    </r>
    <r>
      <rPr>
        <b/>
        <sz val="12"/>
        <color indexed="10"/>
        <rFont val="Calibri"/>
        <family val="2"/>
      </rPr>
      <t>***</t>
    </r>
    <r>
      <rPr>
        <sz val="14"/>
        <rFont val="Calibri"/>
        <family val="2"/>
      </rPr>
      <t xml:space="preserve">
(total usable capacity of the hard drives)</t>
    </r>
  </si>
  <si>
    <t>Suggestion (by form factor, total array capacity, number of cameras, local display, CPU loading)</t>
  </si>
  <si>
    <t>All</t>
  </si>
  <si>
    <t>All</t>
  </si>
  <si>
    <t>2. Storage rollover time for preferred VioStor NVR model</t>
  </si>
  <si>
    <t>1. Estimated CPU loading for preferred VioStor NVR model</t>
  </si>
  <si>
    <t>3. Will this configuration work with preferred VioStor NVR model?</t>
  </si>
  <si>
    <t>RAID 5</t>
  </si>
  <si>
    <r>
      <t xml:space="preserve">Remote Playback on QNAP Surveillance Client for Mac </t>
    </r>
    <r>
      <rPr>
        <i/>
        <sz val="14"/>
        <rFont val="Calibri"/>
        <family val="2"/>
      </rPr>
      <t xml:space="preserve">(Only </t>
    </r>
    <r>
      <rPr>
        <b/>
        <i/>
        <sz val="14"/>
        <rFont val="Calibri"/>
        <family val="2"/>
      </rPr>
      <t>single channel</t>
    </r>
    <r>
      <rPr>
        <i/>
        <sz val="14"/>
        <rFont val="Calibri"/>
        <family val="2"/>
      </rPr>
      <t xml:space="preserve"> playback is supported on Mac client v1.0.1 or above)</t>
    </r>
  </si>
  <si>
    <r>
      <t>Remote Monitoring on QNAP Surveillance Client for Mac</t>
    </r>
    <r>
      <rPr>
        <i/>
        <sz val="14"/>
        <rFont val="Calibri"/>
        <family val="2"/>
      </rPr>
      <t xml:space="preserve"> (up to </t>
    </r>
    <r>
      <rPr>
        <b/>
        <i/>
        <sz val="14"/>
        <rFont val="Calibri"/>
        <family val="2"/>
      </rPr>
      <t>16-channel</t>
    </r>
    <r>
      <rPr>
        <i/>
        <sz val="14"/>
        <rFont val="Calibri"/>
        <family val="2"/>
      </rPr>
      <t xml:space="preserve"> display mode is supported on Mac client v1.0.1 or above)</t>
    </r>
  </si>
  <si>
    <t>Please choose other VioStor NVR model or contact QNAP (www.qnap.com)</t>
  </si>
  <si>
    <r>
      <rPr>
        <sz val="12"/>
        <color indexed="10"/>
        <rFont val="Calibri"/>
        <family val="2"/>
      </rPr>
      <t xml:space="preserve">****** </t>
    </r>
    <r>
      <rPr>
        <sz val="12"/>
        <rFont val="Calibri"/>
        <family val="2"/>
      </rPr>
      <t>VS-12100U-RP Pro, VS-8100U-RP Pro, VS-8100 Pro+, VS-6100 Pro+, and VS-4100 Pro+ series support 1 to 16-channel display mode. VS-4008U-RP Pro</t>
    </r>
    <r>
      <rPr>
        <sz val="12"/>
        <color indexed="8"/>
        <rFont val="Calibri"/>
        <family val="2"/>
      </rPr>
      <t>, VS-2008 Pro support 1 to 10-channel display modes only. VS-2004 Pro supports 1 to 6-channel display modes only. Other VioStor Pro models support 1 to 12-channel display modes.</t>
    </r>
  </si>
  <si>
    <t>MJPEG- 4CIF</t>
  </si>
  <si>
    <t>MJPEG - VGA</t>
  </si>
  <si>
    <t>TCM and KCM series excluding KCM-3311,KCM-7311, KCM-5611, KCM-5511</t>
  </si>
  <si>
    <t>MJPEG - 640x480</t>
  </si>
  <si>
    <t>D11, D51, E51</t>
  </si>
  <si>
    <t>KCM-3911, KCM-7911</t>
  </si>
  <si>
    <t>KCM-3311, KCM-7311</t>
  </si>
  <si>
    <t>under 720p</t>
  </si>
  <si>
    <t>same as recording setting</t>
  </si>
  <si>
    <t>MJPEG</t>
  </si>
  <si>
    <t>Atsumi</t>
  </si>
  <si>
    <t>ISVX1XX, ISVX3XX</t>
  </si>
  <si>
    <t>P1346, P1347</t>
  </si>
  <si>
    <t>MJPEG - 320x240, 480x360, 640x480, 800x600, 1024x768, 1280x960, 1600x1200</t>
  </si>
  <si>
    <t>MJPEG - 640x480, 1280x960</t>
  </si>
  <si>
    <t>206M, 209MFD, P3346, GENERIC</t>
  </si>
  <si>
    <t>MJPEG - 320x240, 640x480</t>
  </si>
  <si>
    <t>MJPEG - 320x240, 480x360, 640x480, 800x600, 1024x768, 1280x960</t>
  </si>
  <si>
    <t>223M</t>
  </si>
  <si>
    <t>213, 214, 232, 233, 243SA, 241S, 241SA, 247S, 241Q, 240Q, 241QA, P5512</t>
  </si>
  <si>
    <t>MJPEG - 4CIF</t>
  </si>
  <si>
    <t>2130R, 2100, 206, 207(W), 209, 216, 210, 211, 210A, 221, 225, P3301, M1011, M1031, P1311, M3011, Q1910</t>
  </si>
  <si>
    <t>M1033, M1033-W</t>
  </si>
  <si>
    <t>MJPEG - 640x480 320x240</t>
  </si>
  <si>
    <t>M7001, P5532</t>
  </si>
  <si>
    <t>MJPEG - CIF, 4CIF</t>
  </si>
  <si>
    <t>MJPEG - D1</t>
  </si>
  <si>
    <t>Q7401, Q7404, Q7424, P7214</t>
  </si>
  <si>
    <t>P1343, P3343, M1113, M3113, M1103, M3203, M5013</t>
  </si>
  <si>
    <t>MJPEG - 640x480, 800x600</t>
  </si>
  <si>
    <t>P3344, M1054, M3014, M5014</t>
  </si>
  <si>
    <t>MJPEG - 640x480, 1280x720</t>
  </si>
  <si>
    <t>P3304, M1104, P1344, M1114, M3204</t>
  </si>
  <si>
    <t>MJPEG - 
3:4 320x240 , 480x360, 640x480, 800x600, 1024x768
16:9 320x180 , 480x270, 640x360, 800x450, 1280x720
16:10 320x200 , 480x300, 640x400, 800x500, 1024x640, 1280x800</t>
  </si>
  <si>
    <t>M1144</t>
  </si>
  <si>
    <t>MJPEG - 480x360. 640x480</t>
  </si>
  <si>
    <t>M3004, M3005</t>
  </si>
  <si>
    <t>P3353, P3354, P3363, P3364, P3384, P5544, P1204, P1214, P1214-E</t>
  </si>
  <si>
    <t>Q6034, P5534</t>
  </si>
  <si>
    <t>MJPEG - 800x450, 1280x720</t>
  </si>
  <si>
    <t>MJPEG - 320x240, 640x480, 1920x1080</t>
  </si>
  <si>
    <t>Q1922</t>
  </si>
  <si>
    <t>MJPEG-640x480, 480x360, 320x240</t>
  </si>
  <si>
    <t>MJPEG-160x120, 160x128,176x144, 240x180, 320x256, 384x288, 480x360, 640x480, 640x512, 720x576, 800x600</t>
  </si>
  <si>
    <t>BEWARD</t>
  </si>
  <si>
    <t>N13103</t>
  </si>
  <si>
    <t>H264</t>
  </si>
  <si>
    <t>MJPEG - 320x240</t>
  </si>
  <si>
    <t>BD4370DV</t>
  </si>
  <si>
    <t>MJPEG - 640x480, 352x288/352x240</t>
  </si>
  <si>
    <t>If resolution=352x288/352x240, sub stream=main stream</t>
  </si>
  <si>
    <t>All the models except 500 series</t>
  </si>
  <si>
    <t>MPEG4, H.264 - Quality &lt;= 3 or bitrate &lt;= 1500</t>
  </si>
  <si>
    <t>MPEG4, H.264 - Quality &gt; 3 or bitrate &gt; 1500</t>
  </si>
  <si>
    <t>FB-300Np
VD-300Np
MD-300Np
VD-302Np
OB-300Np/WOB-300Np/GOB-300Np
OB-302Np/WOB-302Np/GOB-302Np</t>
  </si>
  <si>
    <t>All the video compression - Resolution: 2032x1536, 2032x1936</t>
  </si>
  <si>
    <t>MJPEG - QVGA, 15fps</t>
  </si>
  <si>
    <t>MJPEG - QVGA</t>
  </si>
  <si>
    <t>All the video compression - Excluding resolution of 2032x1536, 2032x1936</t>
  </si>
  <si>
    <t>VS-04A</t>
  </si>
  <si>
    <t>VBM40</t>
  </si>
  <si>
    <t>VBC50, VBC300, VBC60, VBC500</t>
  </si>
  <si>
    <t>Only 2500, WVC2300, WVC210</t>
  </si>
  <si>
    <t>CISCO_PVC300</t>
  </si>
  <si>
    <t>CNB</t>
  </si>
  <si>
    <t>IDC4050IR</t>
  </si>
  <si>
    <t>DCS900, DCS900_B, DCS900_B2, DCS920, DCS2121</t>
  </si>
  <si>
    <t>DLINK_3000, DLINK_6000_1, DLINK_6000_2, DLINK_6000_3, DLINK_7135_2, DLINK_DCS950G, DLINK_DCS3410, DLINK_7138, DLINK_PT7137, DLINK_PZ7151, DLINK_IZ7151, DLINK_FD7131, DLINK_7135_3</t>
  </si>
  <si>
    <t>DCS-3710B1</t>
  </si>
  <si>
    <t>N/A</t>
  </si>
  <si>
    <t>H.264/MPEG4-1280x720, 800x450, 640x360, 480x270, 320x176, 1280x1024, 1280x960, 1024x768, 800x600, 640x480, 480x360, 320x240, 176x144</t>
  </si>
  <si>
    <t>DCS-5635</t>
  </si>
  <si>
    <t/>
  </si>
  <si>
    <t>H.264/MPEG4-704x480, 352,x240, 176x112</t>
  </si>
  <si>
    <t>DCS-6113</t>
  </si>
  <si>
    <t>MJPEG 640x360 or 1280x720</t>
  </si>
  <si>
    <t>Dynacolor</t>
  </si>
  <si>
    <t>NH820-18XN1, W1-B</t>
  </si>
  <si>
    <t>any</t>
  </si>
  <si>
    <t>EDIMAX IC-3015Wn</t>
  </si>
  <si>
    <t> 3115W, IC-3110, IC3110W, IC-3100P, IC-3100, IC-3100W, IC-3100P, IC-3030Wn,
IC-3030PoE, IC-3030i, IC-3030iWn, IC-3030iPoE</t>
  </si>
  <si>
    <t>MJPEG
  - 640x480,1280x720</t>
  </si>
  <si>
    <t>Elmo</t>
  </si>
  <si>
    <t>All excluding PTC_401C_IP, SN2230_IPW, SN2230_IP2, TD4114_IP2</t>
  </si>
  <si>
    <t>Eneo</t>
  </si>
  <si>
    <t>PXD2018PTZ, PXD-1010F02, PXD-1020F02, PXD2012PTZ, PXD2036PTZ</t>
  </si>
  <si>
    <t>NXC-1602
NXD-1602
NXD-1502
NLD-1401</t>
  </si>
  <si>
    <t>Only General, EV3130, EV6531, EV6552, EV6551A, EV6250A, EV6356A, EV3151, EV6150A, EV3151A, EV6151A, EV6153A, EV6156A.</t>
  </si>
  <si>
    <t>EV8X8X</t>
  </si>
  <si>
    <t>MJPEG VGA aux stream or recording stream</t>
  </si>
  <si>
    <t>GRUNDIG</t>
  </si>
  <si>
    <t>GCI-K1812W
GCI-F0505B
GCI-K0779P</t>
  </si>
  <si>
    <t>Hitron</t>
  </si>
  <si>
    <t>HNV3H22D1NSH1, HDB-M120, HDG-T420R</t>
  </si>
  <si>
    <t>HUNT</t>
  </si>
  <si>
    <t>HLC-79AD, HLC-7RAD, HLC-79CD</t>
  </si>
  <si>
    <t>MJPEG 640x480</t>
  </si>
  <si>
    <t>ICY BOX</t>
  </si>
  <si>
    <t>IB-CAM-B2210E, IB-CAM-2001, IB-CAM2001, IB-CAM2003, IB-CAM-V2211E/H/R, IB-CAM-M2210E/V, IB-CAM-G2212E, IB-CAM-G2213E, IB-CAM-G2214H, IB-CAM-B3210E, IB-CAM-G3211E, IB-CAM-G3211S, IB-CAM-N3211E</t>
  </si>
  <si>
    <t>MJPEG 320x240</t>
  </si>
  <si>
    <t>made from iMege</t>
  </si>
  <si>
    <t>illustra</t>
  </si>
  <si>
    <t>ADCi400</t>
  </si>
  <si>
    <t>same as recording</t>
  </si>
  <si>
    <t>ADCi610</t>
  </si>
  <si>
    <t>when recording is H264 or JPEG(1080P), JPEG(720P), has mjpeg - VGA aux stream, else same as recording</t>
  </si>
  <si>
    <t>iMege</t>
  </si>
  <si>
    <t>B1100, B2210E</t>
  </si>
  <si>
    <t>ICS-8220/A, ICS-8624, ICS8200, ICS8604, ICS8600, ICS8620, ICS8601, ICS8621</t>
  </si>
  <si>
    <t>Expect MJPEG</t>
  </si>
  <si>
    <t>resolution=2048x1536, 1920x1080, 1280x1024 sub stream=352x288/352x240 
other resolution with sub stream 640x480 </t>
  </si>
  <si>
    <t>All excluding 732</t>
  </si>
  <si>
    <t>Only 0020, 109x</t>
  </si>
  <si>
    <t>LEVELONE_3000, LEVELONE_6000_1, LEVELONE_6000_2, LEVELONE_6000_3, LEVELONE_PT7135, LEVELONE_IP7135, LEVELONE_FD7131, LEVELONE_IP7142, LEVELONE_DCS5011</t>
  </si>
  <si>
    <t>LG</t>
  </si>
  <si>
    <t>LW9228(I)/LW9226(I)</t>
  </si>
  <si>
    <t>LILIN</t>
  </si>
  <si>
    <t>IPG1022ES, IPR7424
IPD2220ES
IPD6220
IPR434/IPR438
IPS9364/IPS9368
IPR7334
IPG1032ESX
IPS8364</t>
  </si>
  <si>
    <t>MJPEG - 352x288/352x240</t>
  </si>
  <si>
    <t>All excluding PVC3000</t>
  </si>
  <si>
    <t>LINKSYS_PVC300</t>
  </si>
  <si>
    <t>All excluding NCB855_HN1, NDR890, NIC930</t>
  </si>
  <si>
    <t>NDF821E
NCC800</t>
  </si>
  <si>
    <t>NIC990</t>
  </si>
  <si>
    <t>Please configure first stream to H.264, and second stream to MJPEG, VGA in camera's page</t>
  </si>
  <si>
    <t>All excluding MPEG4, 1280x1024</t>
  </si>
  <si>
    <t>All BB/BL series</t>
  </si>
  <si>
    <t>MPEG4, 1280x1024</t>
  </si>
  <si>
    <t>BB-SW175</t>
  </si>
  <si>
    <t>MJPEG VGA</t>
  </si>
  <si>
    <t>VGA or 2VGA mjpeg aux stream, or same as recording</t>
  </si>
  <si>
    <t>MJPEG - 2VGA @ 10fps, VGA @ 15fps</t>
  </si>
  <si>
    <t>WV-SW152E</t>
  </si>
  <si>
    <t>MJEPG VGA</t>
  </si>
  <si>
    <t>when recording is H264, has mjpeg VGA aux stream, else same as recording</t>
  </si>
  <si>
    <t>WV-SP508E, SC384, SW314, SC386, SP509, SW316</t>
  </si>
  <si>
    <t>MJPEG - 640x360, 1280x720</t>
  </si>
  <si>
    <t>SP302, SF332, SW352, SW155, ST162</t>
  </si>
  <si>
    <t>MJPEG - 640x360</t>
  </si>
  <si>
    <t>Planet</t>
  </si>
  <si>
    <t>ICA-HM312</t>
  </si>
  <si>
    <t> ICA-HM351
 ICA-HM100
 ICA-HM100W
 ICA-HM101W
 ICA-2200
 ICA-3350V
 IVS-H120</t>
  </si>
  <si>
    <t>Samsung</t>
  </si>
  <si>
    <t>SND-1080, SNP-6200</t>
  </si>
  <si>
    <t>MJPEG - 640x480,1280x720</t>
  </si>
  <si>
    <t>H.264, 16:9 - 1920x1080, 1280x720, 1024x576, 640x360</t>
  </si>
  <si>
    <t>H.264, 4:3 - 1600x1200, 1280x960, 1024x768, 800x600, 640x480, 320x240</t>
  </si>
  <si>
    <t>MJPEG, any resolution</t>
  </si>
  <si>
    <t>HD2500, HD2500, HD4600</t>
  </si>
  <si>
    <t>MJPEG, 16:9 - 640x360</t>
  </si>
  <si>
    <t>MJPEG - 1280x720</t>
  </si>
  <si>
    <t>H.264, 4:3 - 1280x960, 1024x768, 800x600, 640x480, 320x240</t>
  </si>
  <si>
    <t>MJPEG, 4:3 - 800x600, 640x480, 320x240</t>
  </si>
  <si>
    <t>MJPEG - 1280x960</t>
  </si>
  <si>
    <t>H.264, 4:3 - 1600x1200</t>
  </si>
  <si>
    <t>H.264, 16:9 - 1280x720, 1024x576, 640x360, 320x180</t>
  </si>
  <si>
    <t>MJPEG, 16:9 - 1024x576</t>
  </si>
  <si>
    <t>H.264, 16:9 - 1920x1080</t>
  </si>
  <si>
    <t>MJPEG, 16:9 - 1920x1080, 1280x720</t>
  </si>
  <si>
    <t>MJPEG, 4:3 - 1024x768</t>
  </si>
  <si>
    <t>MJPEG, 4:3 - 1600x1200, 1280x960</t>
  </si>
  <si>
    <t>MJPEG, 4:3 - 2288x1712</t>
  </si>
  <si>
    <t>SHANY SNC-11XX-1.3MP Series, SNC-21XX-1.3MP Series</t>
  </si>
  <si>
    <t>H.264 and MPEG4 with SXVGA(1280 x 960) and MJPEG</t>
  </si>
  <si>
    <t>H.264 with SXGA</t>
  </si>
  <si>
    <t>H.264 - VGA</t>
  </si>
  <si>
    <t>MPEG4 with SXGA</t>
  </si>
  <si>
    <t>MPEG4 - VGA</t>
  </si>
  <si>
    <t>H.264 and MPEG4 with 720P</t>
  </si>
  <si>
    <t>H.264 and MPEG4 with D1</t>
  </si>
  <si>
    <t>SHANY SNC-22xx-2.0MP Series</t>
  </si>
  <si>
    <t>H.264 and MPEG4 with SXGA and MJPEG</t>
  </si>
  <si>
    <t>H.264 with 1080P</t>
  </si>
  <si>
    <t>MPEG4 with 1080P</t>
  </si>
  <si>
    <t>SHANY SNC-23XX-3.0MP Series</t>
  </si>
  <si>
    <t>H.264 and MPEG4 with QXGA and SXGA</t>
  </si>
  <si>
    <t>SIQURA</t>
  </si>
  <si>
    <t>IFD820VIR</t>
  </si>
  <si>
    <t>H264: 1280x720 @ 30FPS</t>
  </si>
  <si>
    <t>All excluding H264: 1280x720 @ 30FPS</t>
  </si>
  <si>
    <t>MJPEG - 640x480 @ 15 FPS</t>
  </si>
  <si>
    <t>MJPEG - CIF @ 1 FPS</t>
  </si>
  <si>
    <t>All excluding H264: 1920x1080 @ 30FPS</t>
  </si>
  <si>
    <t>MJPEG - 640x480 @ 15 FPS</t>
  </si>
  <si>
    <t>MJPEG - CIF @ 15 FPS</t>
  </si>
  <si>
    <t>MJPEG - VGA or D1 @ 15 FPS</t>
  </si>
  <si>
    <t>SNC-EM520/EM521</t>
  </si>
  <si>
    <t>recording stream or mjpeg VGA aux stream. NO mjpeg VGA aux stream when motion detection is enabled</t>
  </si>
  <si>
    <t>SNC-ZB550
SNC-ZM550</t>
  </si>
  <si>
    <t>STARDOT</t>
  </si>
  <si>
    <t>SDH500VN</t>
  </si>
  <si>
    <t>SDH300VN, SDH130VN</t>
  </si>
  <si>
    <t>MJPEG - 320x240,640x480,1280x720</t>
  </si>
  <si>
    <t>IKWB12, IKWB21, CI_8210D, CI_8110D</t>
  </si>
  <si>
    <t>CI8600, CI8000</t>
  </si>
  <si>
    <t>made from HUNT</t>
  </si>
  <si>
    <t>VARiCAM</t>
  </si>
  <si>
    <t>VMD-200
VFB-200
VMD-030</t>
  </si>
  <si>
    <t>GENERIC</t>
  </si>
  <si>
    <t>GENERIC_MEGA</t>
  </si>
  <si>
    <t>1.Only works in NVR FW v3.0.0
2.Vivotek library</t>
  </si>
  <si>
    <t>MJPEG - CIF, VGA, 2VGA</t>
  </si>
  <si>
    <t>Recording stream and MJPEG - VGA, 2VGA</t>
  </si>
  <si>
    <t>Recording stream, MJPEG - VGA, 2VGA and H.264 - VGA</t>
  </si>
  <si>
    <t>MJPEG - CIF, VGA</t>
  </si>
  <si>
    <t>Recording stream and MJPEG - VGA</t>
  </si>
  <si>
    <t>IP8361,FD8135H, FD8335H</t>
  </si>
  <si>
    <t>FD8136</t>
  </si>
  <si>
    <t>MJPEG 640x400</t>
  </si>
  <si>
    <t>FD8362</t>
  </si>
  <si>
    <t>MJPEG 640x360</t>
  </si>
  <si>
    <t>FE-8171, FE-8172, IP8172P, BD5115</t>
  </si>
  <si>
    <t>CC8130</t>
  </si>
  <si>
    <t>MJPEG - 320x200</t>
  </si>
  <si>
    <t>IP8361</t>
  </si>
  <si>
    <t>BulletHD</t>
  </si>
  <si>
    <t>VGA mjpeg aux stream or recording stream</t>
  </si>
  <si>
    <t>BulletHD1080</t>
  </si>
  <si>
    <t>H.264 - 640x360</t>
  </si>
  <si>
    <t>VS-6120 Pro+</t>
  </si>
  <si>
    <t>VS-6116 Pro+</t>
  </si>
  <si>
    <t>VS-6112 Pro+</t>
  </si>
  <si>
    <t>VS-4116 Pro+</t>
  </si>
  <si>
    <t>VS-4112 Pro+</t>
  </si>
  <si>
    <t>VS-4108 Pro+</t>
  </si>
  <si>
    <t>Yes, hardware decode</t>
  </si>
  <si>
    <t>1. When the estimated CPU loading of the NVR reaches 88% or more, please consider to change the video compression, reduce the camera numbers or lower the FPS/quality settings. If it still doesn't work, please use remote monitoring/playback, but not local display.</t>
  </si>
  <si>
    <t>2. The number of total recording channels is more than the max channel of this preferred VioStor NVR model.</t>
  </si>
  <si>
    <t>Desktop/Portable</t>
  </si>
  <si>
    <t>(only for reference)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</si>
</sst>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0.00_ "/>
    <numFmt numFmtId="191" formatCode="#,##0.00_ "/>
    <numFmt numFmtId="192" formatCode="#,##0_ "/>
    <numFmt numFmtId="193" formatCode="&quot;Up to&quot;\ #"/>
    <numFmt numFmtId="194" formatCode="&quot;Up to &quot;\ #"/>
    <numFmt numFmtId="195" formatCode="&quot;Up to&quot;\ \ #"/>
    <numFmt numFmtId="196" formatCode="&quot;Up to &quot;\ \ #"/>
    <numFmt numFmtId="197" formatCode="000"/>
    <numFmt numFmtId="198" formatCode="0_ "/>
    <numFmt numFmtId="199" formatCode="#,###"/>
    <numFmt numFmtId="200" formatCode="#"/>
    <numFmt numFmtId="201" formatCode="0_);[Red]\(0\)"/>
    <numFmt numFmtId="202" formatCode="0.0_ "/>
    <numFmt numFmtId="203" formatCode="#,##0.0"/>
    <numFmt numFmtId="204" formatCode="0;[Red]0"/>
    <numFmt numFmtId="205" formatCode="0.0"/>
    <numFmt numFmtId="206" formatCode="0.0000_ "/>
    <numFmt numFmtId="207" formatCode="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General\ &quot;Mbps&quot;"/>
    <numFmt numFmtId="213" formatCode="General\ &quot;TB&quot;"/>
    <numFmt numFmtId="214" formatCode="0.00\ &quot;day(s)&quot;"/>
  </numFmts>
  <fonts count="8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10"/>
      <name val="Calibri"/>
      <family val="2"/>
    </font>
    <font>
      <sz val="12"/>
      <color indexed="51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4"/>
      <color indexed="10"/>
      <name val="Calibri"/>
      <family val="2"/>
    </font>
    <font>
      <b/>
      <sz val="12"/>
      <color indexed="10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4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1"/>
      <name val="Calibri"/>
      <family val="2"/>
    </font>
    <font>
      <b/>
      <sz val="12"/>
      <color indexed="9"/>
      <name val="Calibri"/>
      <family val="2"/>
    </font>
    <font>
      <sz val="12"/>
      <color indexed="18"/>
      <name val="Calibri"/>
      <family val="2"/>
    </font>
    <font>
      <b/>
      <i/>
      <sz val="12"/>
      <color indexed="62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b/>
      <i/>
      <sz val="12"/>
      <color indexed="56"/>
      <name val="Calibri"/>
      <family val="2"/>
    </font>
    <font>
      <b/>
      <i/>
      <sz val="12"/>
      <color indexed="18"/>
      <name val="Calibri"/>
      <family val="2"/>
    </font>
    <font>
      <u val="single"/>
      <sz val="14"/>
      <color indexed="12"/>
      <name val="Calibri"/>
      <family val="2"/>
    </font>
    <font>
      <sz val="12"/>
      <color indexed="31"/>
      <name val="細明體"/>
      <family val="3"/>
    </font>
    <font>
      <i/>
      <sz val="12"/>
      <color indexed="62"/>
      <name val="Calibri"/>
      <family val="2"/>
    </font>
    <font>
      <sz val="12"/>
      <color indexed="51"/>
      <name val="Calibri"/>
      <family val="2"/>
    </font>
    <font>
      <sz val="12"/>
      <color indexed="62"/>
      <name val="Calibri"/>
      <family val="2"/>
    </font>
    <font>
      <i/>
      <sz val="12"/>
      <color indexed="18"/>
      <name val="Calibri"/>
      <family val="2"/>
    </font>
    <font>
      <b/>
      <sz val="14"/>
      <color indexed="18"/>
      <name val="Calibri"/>
      <family val="2"/>
    </font>
    <font>
      <b/>
      <i/>
      <sz val="14"/>
      <color indexed="9"/>
      <name val="Calibri"/>
      <family val="2"/>
    </font>
    <font>
      <b/>
      <i/>
      <sz val="16"/>
      <color indexed="9"/>
      <name val="Calibri"/>
      <family val="2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4" tint="0.7999799847602844"/>
      <name val="Calibri"/>
      <family val="2"/>
    </font>
    <font>
      <sz val="12"/>
      <color theme="4" tint="-0.4999699890613556"/>
      <name val="Calibri"/>
      <family val="2"/>
    </font>
    <font>
      <b/>
      <i/>
      <sz val="12"/>
      <color theme="4" tint="-0.24997000396251678"/>
      <name val="Calibri"/>
      <family val="2"/>
    </font>
    <font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i/>
      <sz val="12"/>
      <color theme="3"/>
      <name val="Calibri"/>
      <family val="2"/>
    </font>
    <font>
      <b/>
      <i/>
      <sz val="12"/>
      <color theme="4" tint="-0.4999699890613556"/>
      <name val="Calibri"/>
      <family val="2"/>
    </font>
    <font>
      <b/>
      <i/>
      <sz val="14"/>
      <color rgb="FFFF0000"/>
      <name val="Calibri"/>
      <family val="2"/>
    </font>
    <font>
      <u val="single"/>
      <sz val="14"/>
      <color theme="10"/>
      <name val="Calibri"/>
      <family val="2"/>
    </font>
    <font>
      <sz val="12"/>
      <color theme="4" tint="0.7999799847602844"/>
      <name val="細明體"/>
      <family val="3"/>
    </font>
    <font>
      <b/>
      <sz val="14"/>
      <color theme="4" tint="-0.4999699890613556"/>
      <name val="Calibri"/>
      <family val="2"/>
    </font>
    <font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sz val="12"/>
      <color rgb="FFFFC000"/>
      <name val="Calibri"/>
      <family val="2"/>
    </font>
    <font>
      <b/>
      <i/>
      <sz val="16"/>
      <color theme="0"/>
      <name val="Calibri"/>
      <family val="2"/>
    </font>
    <font>
      <i/>
      <sz val="12"/>
      <color theme="4" tint="-0.4999699890613556"/>
      <name val="Calibri"/>
      <family val="2"/>
    </font>
    <font>
      <b/>
      <i/>
      <sz val="14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>
        <color rgb="FFFFC000"/>
      </left>
      <right>
        <color indexed="63"/>
      </right>
      <top style="thin">
        <color rgb="FFFFC000"/>
      </top>
      <bottom style="thin">
        <color rgb="FFFFC000"/>
      </bottom>
    </border>
    <border>
      <left style="hair"/>
      <right style="hair"/>
      <top style="thin">
        <color rgb="FFFFC000"/>
      </top>
      <bottom style="thin">
        <color rgb="FFFFC000"/>
      </bottom>
    </border>
    <border>
      <left style="hair"/>
      <right style="medium">
        <color rgb="FFFFC000"/>
      </right>
      <top style="thin">
        <color rgb="FFFFC000"/>
      </top>
      <bottom style="thin">
        <color rgb="FFFFC000"/>
      </bottom>
    </border>
    <border>
      <left style="hair"/>
      <right style="hair"/>
      <top style="thin">
        <color rgb="FFFFC000"/>
      </top>
      <bottom>
        <color indexed="63"/>
      </bottom>
    </border>
    <border>
      <left style="hair"/>
      <right style="medium">
        <color rgb="FFFFC000"/>
      </right>
      <top style="thin">
        <color rgb="FFFFC00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FFC000"/>
      </top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>
        <color rgb="FFFFC000"/>
      </left>
      <right>
        <color indexed="63"/>
      </right>
      <top>
        <color indexed="63"/>
      </top>
      <bottom style="thin">
        <color rgb="FFFFC000"/>
      </bottom>
    </border>
    <border>
      <left style="hair"/>
      <right style="medium"/>
      <top style="thin">
        <color rgb="FFFFC000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FFC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rgb="FFFFC000"/>
      </bottom>
    </border>
    <border>
      <left>
        <color indexed="63"/>
      </left>
      <right style="medium"/>
      <top style="thin">
        <color rgb="FFFFC000"/>
      </top>
      <bottom style="thin"/>
    </border>
    <border>
      <left>
        <color indexed="63"/>
      </left>
      <right>
        <color indexed="63"/>
      </right>
      <top style="thin"/>
      <bottom style="thin">
        <color rgb="FFFFC000"/>
      </bottom>
    </border>
    <border>
      <left>
        <color indexed="63"/>
      </left>
      <right style="thin"/>
      <top style="thin"/>
      <bottom style="thin">
        <color rgb="FFFFC000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>
        <color rgb="FFFFC000"/>
      </top>
      <bottom style="thin">
        <color indexed="63"/>
      </bottom>
    </border>
    <border>
      <left style="medium">
        <color rgb="FFFF9900"/>
      </left>
      <right>
        <color indexed="63"/>
      </right>
      <top>
        <color indexed="63"/>
      </top>
      <bottom>
        <color indexed="63"/>
      </bottom>
    </border>
    <border>
      <left style="medium">
        <color rgb="FFFF9900"/>
      </left>
      <right>
        <color indexed="63"/>
      </right>
      <top>
        <color indexed="63"/>
      </top>
      <bottom style="medium">
        <color rgb="FFFF9900"/>
      </bottom>
    </border>
    <border>
      <left style="hair"/>
      <right style="hair"/>
      <top style="thin">
        <color rgb="FFFFC000"/>
      </top>
      <bottom style="thin"/>
    </border>
    <border>
      <left>
        <color indexed="63"/>
      </left>
      <right style="medium">
        <color rgb="FFFF9900"/>
      </right>
      <top>
        <color indexed="63"/>
      </top>
      <bottom style="medium">
        <color rgb="FFFF9900"/>
      </bottom>
    </border>
    <border>
      <left>
        <color indexed="63"/>
      </left>
      <right style="medium">
        <color rgb="FFFF9900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>
        <color indexed="63"/>
      </bottom>
    </border>
    <border>
      <left style="medium">
        <color rgb="FFFFC000"/>
      </left>
      <right>
        <color indexed="63"/>
      </right>
      <top style="thin">
        <color rgb="FFFFC000"/>
      </top>
      <bottom style="medium">
        <color rgb="FFFFC000"/>
      </bottom>
    </border>
    <border>
      <left style="hair"/>
      <right style="hair"/>
      <top style="thin">
        <color rgb="FFFFC000"/>
      </top>
      <bottom style="medium">
        <color rgb="FFFFC000"/>
      </bottom>
    </border>
    <border>
      <left style="hair"/>
      <right style="medium">
        <color rgb="FFFFC000"/>
      </right>
      <top style="thin">
        <color rgb="FFFFC000"/>
      </top>
      <bottom style="medium">
        <color rgb="FFFFC000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hair"/>
      <right>
        <color indexed="63"/>
      </right>
      <top style="thin">
        <color rgb="FFFFC000"/>
      </top>
      <bottom style="thin">
        <color rgb="FFFFC000"/>
      </bottom>
    </border>
    <border>
      <left>
        <color indexed="63"/>
      </left>
      <right style="hair"/>
      <top style="thin">
        <color rgb="FFFFC000"/>
      </top>
      <bottom style="thin"/>
    </border>
    <border>
      <left>
        <color indexed="63"/>
      </left>
      <right style="thin">
        <color rgb="FFFFC000"/>
      </right>
      <top>
        <color indexed="63"/>
      </top>
      <bottom style="medium"/>
    </border>
    <border>
      <left style="thin"/>
      <right style="thin"/>
      <top style="thin"/>
      <bottom style="thin">
        <color rgb="FFFFC000"/>
      </bottom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rgb="FFFFC000"/>
      </bottom>
    </border>
    <border>
      <left style="hair"/>
      <right>
        <color indexed="63"/>
      </right>
      <top style="thin">
        <color rgb="FFFFC000"/>
      </top>
      <bottom style="thin"/>
    </border>
    <border>
      <left>
        <color indexed="63"/>
      </left>
      <right>
        <color indexed="63"/>
      </right>
      <top style="thin">
        <color rgb="FFFFC000"/>
      </top>
      <bottom style="thin"/>
    </border>
    <border>
      <left style="hair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thin">
        <color indexed="63"/>
      </bottom>
    </border>
    <border>
      <left>
        <color indexed="63"/>
      </left>
      <right style="medium">
        <color rgb="FFFFC000"/>
      </right>
      <top style="thin">
        <color rgb="FFFFC000"/>
      </top>
      <bottom style="thin">
        <color rgb="FFFFC000"/>
      </bottom>
    </border>
    <border>
      <left>
        <color indexed="63"/>
      </left>
      <right style="hair"/>
      <top style="thin">
        <color rgb="FFFFC000"/>
      </top>
      <bottom style="thin">
        <color rgb="FFFFC000"/>
      </bottom>
    </border>
    <border>
      <left style="hair"/>
      <right>
        <color indexed="63"/>
      </right>
      <top style="thin">
        <color rgb="FFFFC000"/>
      </top>
      <bottom style="thin">
        <color indexed="63"/>
      </bottom>
    </border>
    <border>
      <left>
        <color indexed="63"/>
      </left>
      <right style="hair"/>
      <top style="thin">
        <color rgb="FFFFC000"/>
      </top>
      <bottom style="thin">
        <color indexed="63"/>
      </bottom>
    </border>
    <border>
      <left style="thin"/>
      <right>
        <color indexed="63"/>
      </right>
      <top style="thin">
        <color indexed="8"/>
      </top>
      <bottom style="thin">
        <color rgb="FFFFC000"/>
      </bottom>
    </border>
    <border>
      <left>
        <color indexed="63"/>
      </left>
      <right style="thin"/>
      <top style="thin">
        <color indexed="8"/>
      </top>
      <bottom style="thin">
        <color rgb="FFFFC000"/>
      </bottom>
    </border>
    <border>
      <left style="thin"/>
      <right style="medium"/>
      <top style="thin"/>
      <bottom style="thin">
        <color rgb="FFFFC000"/>
      </bottom>
    </border>
    <border>
      <left style="thin">
        <color rgb="FFFFC000"/>
      </left>
      <right>
        <color indexed="63"/>
      </right>
      <top style="thin">
        <color rgb="FFFFC000"/>
      </top>
      <bottom style="thin">
        <color rgb="FFFFC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rgb="FFFFC000"/>
      </top>
      <bottom style="thin">
        <color rgb="FFFFC000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>
        <color rgb="FFFFC000"/>
      </top>
      <bottom style="medium">
        <color rgb="FFFFC000"/>
      </bottom>
    </border>
    <border>
      <left>
        <color indexed="63"/>
      </left>
      <right style="hair"/>
      <top style="thin">
        <color rgb="FFFFC000"/>
      </top>
      <bottom style="medium">
        <color rgb="FFFFC000"/>
      </bottom>
    </border>
    <border>
      <left>
        <color indexed="63"/>
      </left>
      <right>
        <color indexed="63"/>
      </right>
      <top>
        <color indexed="63"/>
      </top>
      <bottom style="medium">
        <color rgb="FFFF9900"/>
      </bottom>
    </border>
    <border>
      <left>
        <color indexed="63"/>
      </left>
      <right style="medium"/>
      <top style="thin"/>
      <bottom style="thin">
        <color rgb="FFFFC000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9900"/>
      </left>
      <right>
        <color indexed="63"/>
      </right>
      <top style="medium">
        <color rgb="FFFF9900"/>
      </top>
      <bottom>
        <color indexed="63"/>
      </bottom>
    </border>
    <border>
      <left>
        <color indexed="63"/>
      </left>
      <right>
        <color indexed="63"/>
      </right>
      <top style="medium">
        <color rgb="FFFF9900"/>
      </top>
      <bottom>
        <color indexed="63"/>
      </bottom>
    </border>
    <border>
      <left>
        <color indexed="63"/>
      </left>
      <right style="medium">
        <color rgb="FFFF9900"/>
      </right>
      <top style="medium">
        <color rgb="FFFF9900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hair"/>
      <right>
        <color indexed="63"/>
      </right>
      <top style="thin">
        <color rgb="FFFFC000"/>
      </top>
      <bottom style="medium">
        <color rgb="FFFFC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3" fillId="0" borderId="0" applyFont="0" applyFill="0" applyBorder="0" applyAlignment="0" applyProtection="0"/>
    <xf numFmtId="0" fontId="58" fillId="22" borderId="2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0" borderId="3" applyNumberFormat="0" applyFill="0" applyAlignment="0" applyProtection="0"/>
    <xf numFmtId="0" fontId="3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27">
    <xf numFmtId="0" fontId="0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 wrapText="1"/>
      <protection hidden="1"/>
    </xf>
    <xf numFmtId="190" fontId="4" fillId="2" borderId="0" xfId="0" applyNumberFormat="1" applyFont="1" applyFill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71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vertical="center"/>
      <protection hidden="1"/>
    </xf>
    <xf numFmtId="0" fontId="4" fillId="4" borderId="10" xfId="0" applyFont="1" applyFill="1" applyBorder="1" applyAlignment="1" applyProtection="1">
      <alignment horizontal="right" vertical="center"/>
      <protection hidden="1"/>
    </xf>
    <xf numFmtId="0" fontId="4" fillId="4" borderId="12" xfId="0" applyFont="1" applyFill="1" applyBorder="1" applyAlignment="1" applyProtection="1">
      <alignment horizontal="right" vertical="center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right" vertical="center"/>
      <protection hidden="1"/>
    </xf>
    <xf numFmtId="0" fontId="4" fillId="4" borderId="14" xfId="0" applyFont="1" applyFill="1" applyBorder="1" applyAlignment="1" applyProtection="1">
      <alignment horizontal="right" vertical="center"/>
      <protection hidden="1"/>
    </xf>
    <xf numFmtId="0" fontId="68" fillId="33" borderId="15" xfId="0" applyFont="1" applyFill="1" applyBorder="1" applyAlignment="1" applyProtection="1">
      <alignment horizontal="center" vertical="center"/>
      <protection hidden="1"/>
    </xf>
    <xf numFmtId="0" fontId="68" fillId="33" borderId="15" xfId="0" applyFont="1" applyFill="1" applyBorder="1" applyAlignment="1" applyProtection="1">
      <alignment horizontal="center" vertical="center" wrapText="1"/>
      <protection hidden="1"/>
    </xf>
    <xf numFmtId="0" fontId="68" fillId="33" borderId="16" xfId="0" applyFont="1" applyFill="1" applyBorder="1" applyAlignment="1" applyProtection="1">
      <alignment horizontal="center" vertical="center" wrapText="1"/>
      <protection hidden="1"/>
    </xf>
    <xf numFmtId="0" fontId="4" fillId="10" borderId="10" xfId="0" applyFont="1" applyFill="1" applyBorder="1" applyAlignment="1" applyProtection="1">
      <alignment vertical="center"/>
      <protection hidden="1"/>
    </xf>
    <xf numFmtId="0" fontId="4" fillId="10" borderId="10" xfId="0" applyFont="1" applyFill="1" applyBorder="1" applyAlignment="1" applyProtection="1">
      <alignment horizontal="center" vertical="center"/>
      <protection hidden="1"/>
    </xf>
    <xf numFmtId="0" fontId="4" fillId="10" borderId="10" xfId="0" applyFont="1" applyFill="1" applyBorder="1" applyAlignment="1" applyProtection="1">
      <alignment horizontal="right" vertical="center"/>
      <protection hidden="1"/>
    </xf>
    <xf numFmtId="0" fontId="4" fillId="10" borderId="12" xfId="0" applyFont="1" applyFill="1" applyBorder="1" applyAlignment="1" applyProtection="1">
      <alignment horizontal="right" vertical="center"/>
      <protection hidden="1"/>
    </xf>
    <xf numFmtId="0" fontId="4" fillId="4" borderId="17" xfId="0" applyFont="1" applyFill="1" applyBorder="1" applyAlignment="1" applyProtection="1">
      <alignment horizontal="left" vertical="center" wrapText="1"/>
      <protection hidden="1"/>
    </xf>
    <xf numFmtId="0" fontId="4" fillId="4" borderId="18" xfId="0" applyFont="1" applyFill="1" applyBorder="1" applyAlignment="1" applyProtection="1">
      <alignment horizontal="left" vertical="center"/>
      <protection hidden="1"/>
    </xf>
    <xf numFmtId="0" fontId="4" fillId="8" borderId="19" xfId="0" applyFont="1" applyFill="1" applyBorder="1" applyAlignment="1" applyProtection="1">
      <alignment vertical="center" wrapText="1"/>
      <protection hidden="1"/>
    </xf>
    <xf numFmtId="0" fontId="4" fillId="4" borderId="20" xfId="0" applyFont="1" applyFill="1" applyBorder="1" applyAlignment="1" applyProtection="1">
      <alignment horizontal="left" vertical="center"/>
      <protection hidden="1"/>
    </xf>
    <xf numFmtId="190" fontId="71" fillId="2" borderId="0" xfId="0" applyNumberFormat="1" applyFont="1" applyFill="1" applyAlignment="1" applyProtection="1">
      <alignment vertical="center" wrapText="1"/>
      <protection hidden="1"/>
    </xf>
    <xf numFmtId="0" fontId="72" fillId="2" borderId="0" xfId="0" applyFont="1" applyFill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horizontal="left" vertical="center"/>
      <protection hidden="1"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49" fontId="68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4" fillId="4" borderId="21" xfId="0" applyFont="1" applyFill="1" applyBorder="1" applyAlignment="1" applyProtection="1">
      <alignment horizontal="left" vertical="center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190" fontId="4" fillId="4" borderId="24" xfId="0" applyNumberFormat="1" applyFont="1" applyFill="1" applyBorder="1" applyAlignment="1" applyProtection="1">
      <alignment horizontal="right" vertical="center"/>
      <protection hidden="1"/>
    </xf>
    <xf numFmtId="0" fontId="4" fillId="4" borderId="25" xfId="0" applyFont="1" applyFill="1" applyBorder="1" applyAlignment="1" applyProtection="1">
      <alignment horizontal="left" vertical="center"/>
      <protection hidden="1"/>
    </xf>
    <xf numFmtId="205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205" fontId="4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0" applyFont="1" applyFill="1" applyBorder="1" applyAlignment="1" applyProtection="1">
      <alignment horizontal="center" vertical="center"/>
      <protection hidden="1" locked="0"/>
    </xf>
    <xf numFmtId="0" fontId="4" fillId="0" borderId="29" xfId="0" applyFont="1" applyFill="1" applyBorder="1" applyAlignment="1" applyProtection="1">
      <alignment horizontal="center" vertical="center"/>
      <protection hidden="1" locked="0"/>
    </xf>
    <xf numFmtId="0" fontId="4" fillId="0" borderId="30" xfId="0" applyNumberFormat="1" applyFont="1" applyFill="1" applyBorder="1" applyAlignment="1" applyProtection="1">
      <alignment horizontal="center" vertical="center"/>
      <protection hidden="1" locked="0"/>
    </xf>
    <xf numFmtId="198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198" fontId="4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4" borderId="25" xfId="0" applyFont="1" applyFill="1" applyBorder="1" applyAlignment="1" applyProtection="1">
      <alignment vertical="center"/>
      <protection hidden="1" locked="0"/>
    </xf>
    <xf numFmtId="190" fontId="73" fillId="4" borderId="24" xfId="0" applyNumberFormat="1" applyFont="1" applyFill="1" applyBorder="1" applyAlignment="1" applyProtection="1">
      <alignment horizontal="right" vertical="center"/>
      <protection hidden="1"/>
    </xf>
    <xf numFmtId="204" fontId="4" fillId="0" borderId="26" xfId="0" applyNumberFormat="1" applyFont="1" applyFill="1" applyBorder="1" applyAlignment="1" applyProtection="1">
      <alignment horizontal="left" vertical="center" wrapText="1"/>
      <protection hidden="1" locked="0"/>
    </xf>
    <xf numFmtId="204" fontId="4" fillId="0" borderId="27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4" borderId="31" xfId="0" applyFont="1" applyFill="1" applyBorder="1" applyAlignment="1" applyProtection="1">
      <alignment horizontal="left" vertical="center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vertical="center" wrapText="1"/>
      <protection hidden="1"/>
    </xf>
    <xf numFmtId="49" fontId="74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Font="1" applyAlignment="1">
      <alignment vertical="center"/>
    </xf>
    <xf numFmtId="0" fontId="4" fillId="4" borderId="33" xfId="0" applyFont="1" applyFill="1" applyBorder="1" applyAlignment="1" applyProtection="1">
      <alignment vertical="center"/>
      <protection hidden="1" locked="0"/>
    </xf>
    <xf numFmtId="0" fontId="5" fillId="4" borderId="25" xfId="0" applyFont="1" applyFill="1" applyBorder="1" applyAlignment="1" applyProtection="1">
      <alignment vertical="center"/>
      <protection hidden="1" locked="0"/>
    </xf>
    <xf numFmtId="0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0" applyNumberFormat="1" applyFont="1" applyFill="1" applyBorder="1" applyAlignment="1" applyProtection="1">
      <alignment horizontal="center" vertical="center"/>
      <protection hidden="1" locked="0"/>
    </xf>
    <xf numFmtId="190" fontId="73" fillId="4" borderId="34" xfId="0" applyNumberFormat="1" applyFont="1" applyFill="1" applyBorder="1" applyAlignment="1" applyProtection="1">
      <alignment vertical="center"/>
      <protection hidden="1"/>
    </xf>
    <xf numFmtId="190" fontId="73" fillId="4" borderId="35" xfId="0" applyNumberFormat="1" applyFont="1" applyFill="1" applyBorder="1" applyAlignment="1" applyProtection="1">
      <alignment horizontal="right" vertical="center"/>
      <protection hidden="1"/>
    </xf>
    <xf numFmtId="0" fontId="68" fillId="33" borderId="36" xfId="0" applyFont="1" applyFill="1" applyBorder="1" applyAlignment="1" applyProtection="1">
      <alignment horizontal="center" vertical="center"/>
      <protection hidden="1"/>
    </xf>
    <xf numFmtId="0" fontId="68" fillId="33" borderId="16" xfId="0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>
      <alignment vertical="center"/>
    </xf>
    <xf numFmtId="0" fontId="75" fillId="0" borderId="12" xfId="45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75" fillId="0" borderId="14" xfId="45" applyFont="1" applyBorder="1" applyAlignment="1" applyProtection="1">
      <alignment vertical="center"/>
      <protection/>
    </xf>
    <xf numFmtId="0" fontId="4" fillId="10" borderId="17" xfId="0" applyFont="1" applyFill="1" applyBorder="1" applyAlignment="1" applyProtection="1">
      <alignment horizontal="left" vertical="center" wrapText="1"/>
      <protection hidden="1"/>
    </xf>
    <xf numFmtId="0" fontId="5" fillId="4" borderId="39" xfId="0" applyFont="1" applyFill="1" applyBorder="1" applyAlignment="1" applyProtection="1">
      <alignment vertical="center"/>
      <protection hidden="1" locked="0"/>
    </xf>
    <xf numFmtId="0" fontId="72" fillId="2" borderId="0" xfId="0" applyFont="1" applyFill="1" applyAlignment="1" applyProtection="1">
      <alignment horizontal="center" vertical="center" wrapText="1"/>
      <protection hidden="1"/>
    </xf>
    <xf numFmtId="191" fontId="76" fillId="4" borderId="40" xfId="0" applyNumberFormat="1" applyFont="1" applyFill="1" applyBorder="1" applyAlignment="1" applyProtection="1">
      <alignment horizontal="right" vertical="center"/>
      <protection hidden="1"/>
    </xf>
    <xf numFmtId="190" fontId="73" fillId="4" borderId="35" xfId="0" applyNumberFormat="1" applyFont="1" applyFill="1" applyBorder="1" applyAlignment="1" applyProtection="1">
      <alignment vertical="center"/>
      <protection hidden="1"/>
    </xf>
    <xf numFmtId="0" fontId="4" fillId="4" borderId="41" xfId="0" applyFont="1" applyFill="1" applyBorder="1" applyAlignment="1" applyProtection="1">
      <alignment horizontal="center" vertical="center"/>
      <protection hidden="1"/>
    </xf>
    <xf numFmtId="0" fontId="4" fillId="4" borderId="42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Alignment="1" applyProtection="1">
      <alignment vertical="center"/>
      <protection hidden="1"/>
    </xf>
    <xf numFmtId="0" fontId="4" fillId="2" borderId="44" xfId="0" applyFont="1" applyFill="1" applyBorder="1" applyAlignment="1" applyProtection="1">
      <alignment vertical="center"/>
      <protection hidden="1"/>
    </xf>
    <xf numFmtId="0" fontId="4" fillId="2" borderId="45" xfId="0" applyFont="1" applyFill="1" applyBorder="1" applyAlignment="1" applyProtection="1">
      <alignment horizontal="left" vertical="center"/>
      <protection hidden="1"/>
    </xf>
    <xf numFmtId="0" fontId="71" fillId="2" borderId="45" xfId="0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2" borderId="46" xfId="0" applyFont="1" applyFill="1" applyBorder="1" applyAlignment="1" applyProtection="1">
      <alignment vertical="center"/>
      <protection hidden="1"/>
    </xf>
    <xf numFmtId="190" fontId="76" fillId="4" borderId="41" xfId="0" applyNumberFormat="1" applyFont="1" applyFill="1" applyBorder="1" applyAlignment="1" applyProtection="1">
      <alignment horizontal="right" vertical="center"/>
      <protection hidden="1"/>
    </xf>
    <xf numFmtId="0" fontId="4" fillId="10" borderId="47" xfId="0" applyFont="1" applyFill="1" applyBorder="1" applyAlignment="1" applyProtection="1">
      <alignment vertical="center"/>
      <protection hidden="1"/>
    </xf>
    <xf numFmtId="0" fontId="11" fillId="10" borderId="19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190" fontId="73" fillId="4" borderId="40" xfId="0" applyNumberFormat="1" applyFont="1" applyFill="1" applyBorder="1" applyAlignment="1" applyProtection="1">
      <alignment horizontal="right" vertical="center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/>
    </xf>
    <xf numFmtId="0" fontId="4" fillId="4" borderId="48" xfId="0" applyFont="1" applyFill="1" applyBorder="1" applyAlignment="1" applyProtection="1">
      <alignment horizontal="center" vertical="center"/>
      <protection hidden="1"/>
    </xf>
    <xf numFmtId="0" fontId="4" fillId="2" borderId="49" xfId="0" applyFont="1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4" borderId="41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45" xfId="0" applyFont="1" applyFill="1" applyBorder="1" applyAlignment="1" applyProtection="1">
      <alignment vertical="center" wrapText="1"/>
      <protection hidden="1"/>
    </xf>
    <xf numFmtId="212" fontId="4" fillId="0" borderId="50" xfId="0" applyNumberFormat="1" applyFont="1" applyFill="1" applyBorder="1" applyAlignment="1" applyProtection="1">
      <alignment vertical="center" wrapText="1"/>
      <protection hidden="1" locked="0"/>
    </xf>
    <xf numFmtId="0" fontId="72" fillId="2" borderId="0" xfId="0" applyFont="1" applyFill="1" applyAlignment="1" applyProtection="1">
      <alignment vertical="center"/>
      <protection hidden="1"/>
    </xf>
    <xf numFmtId="0" fontId="0" fillId="2" borderId="0" xfId="0" applyFont="1" applyFill="1" applyBorder="1" applyAlignment="1">
      <alignment vertical="center"/>
    </xf>
    <xf numFmtId="0" fontId="72" fillId="2" borderId="0" xfId="0" applyFont="1" applyFill="1" applyBorder="1" applyAlignment="1" applyProtection="1">
      <alignment vertical="center" wrapText="1"/>
      <protection hidden="1"/>
    </xf>
    <xf numFmtId="190" fontId="4" fillId="2" borderId="0" xfId="0" applyNumberFormat="1" applyFont="1" applyFill="1" applyBorder="1" applyAlignment="1" applyProtection="1">
      <alignment vertical="center" wrapText="1"/>
      <protection hidden="1"/>
    </xf>
    <xf numFmtId="0" fontId="16" fillId="10" borderId="0" xfId="0" applyFont="1" applyFill="1" applyBorder="1" applyAlignment="1" applyProtection="1">
      <alignment vertical="center" wrapText="1"/>
      <protection hidden="1"/>
    </xf>
    <xf numFmtId="0" fontId="16" fillId="10" borderId="11" xfId="0" applyFont="1" applyFill="1" applyBorder="1" applyAlignment="1" applyProtection="1">
      <alignment vertical="center" wrapText="1"/>
      <protection hidden="1"/>
    </xf>
    <xf numFmtId="0" fontId="16" fillId="10" borderId="0" xfId="0" applyFont="1" applyFill="1" applyBorder="1" applyAlignment="1" applyProtection="1">
      <alignment vertical="center"/>
      <protection hidden="1"/>
    </xf>
    <xf numFmtId="0" fontId="16" fillId="10" borderId="11" xfId="0" applyFont="1" applyFill="1" applyBorder="1" applyAlignment="1" applyProtection="1">
      <alignment vertical="center"/>
      <protection hidden="1"/>
    </xf>
    <xf numFmtId="0" fontId="12" fillId="10" borderId="51" xfId="0" applyFont="1" applyFill="1" applyBorder="1" applyAlignment="1" applyProtection="1">
      <alignment vertical="center"/>
      <protection hidden="1"/>
    </xf>
    <xf numFmtId="0" fontId="12" fillId="10" borderId="52" xfId="0" applyFont="1" applyFill="1" applyBorder="1" applyAlignment="1" applyProtection="1">
      <alignment vertical="center"/>
      <protection hidden="1"/>
    </xf>
    <xf numFmtId="0" fontId="12" fillId="10" borderId="53" xfId="0" applyFont="1" applyFill="1" applyBorder="1" applyAlignment="1" applyProtection="1">
      <alignment vertical="center"/>
      <protection hidden="1"/>
    </xf>
    <xf numFmtId="0" fontId="4" fillId="4" borderId="25" xfId="0" applyFont="1" applyFill="1" applyBorder="1" applyAlignment="1" applyProtection="1">
      <alignment vertical="center" wrapText="1"/>
      <protection hidden="1" locked="0"/>
    </xf>
    <xf numFmtId="0" fontId="4" fillId="4" borderId="54" xfId="0" applyFont="1" applyFill="1" applyBorder="1" applyAlignment="1" applyProtection="1">
      <alignment horizontal="center" vertical="center"/>
      <protection hidden="1"/>
    </xf>
    <xf numFmtId="190" fontId="73" fillId="4" borderId="55" xfId="0" applyNumberFormat="1" applyFont="1" applyFill="1" applyBorder="1" applyAlignment="1" applyProtection="1">
      <alignment horizontal="right" vertical="center"/>
      <protection hidden="1"/>
    </xf>
    <xf numFmtId="0" fontId="4" fillId="4" borderId="56" xfId="0" applyFont="1" applyFill="1" applyBorder="1" applyAlignment="1" applyProtection="1">
      <alignment horizontal="left" vertical="center"/>
      <protection hidden="1"/>
    </xf>
    <xf numFmtId="0" fontId="4" fillId="4" borderId="57" xfId="0" applyFont="1" applyFill="1" applyBorder="1" applyAlignment="1" applyProtection="1">
      <alignment horizontal="left" vertical="center"/>
      <protection hidden="1"/>
    </xf>
    <xf numFmtId="190" fontId="73" fillId="4" borderId="58" xfId="0" applyNumberFormat="1" applyFont="1" applyFill="1" applyBorder="1" applyAlignment="1" applyProtection="1">
      <alignment horizontal="right" vertical="center"/>
      <protection hidden="1"/>
    </xf>
    <xf numFmtId="10" fontId="71" fillId="2" borderId="0" xfId="0" applyNumberFormat="1" applyFont="1" applyFill="1" applyAlignment="1" applyProtection="1">
      <alignment vertical="center" wrapText="1"/>
      <protection hidden="1"/>
    </xf>
    <xf numFmtId="0" fontId="4" fillId="4" borderId="59" xfId="0" applyFont="1" applyFill="1" applyBorder="1" applyAlignment="1" applyProtection="1">
      <alignment vertical="center"/>
      <protection hidden="1"/>
    </xf>
    <xf numFmtId="0" fontId="4" fillId="4" borderId="60" xfId="0" applyFont="1" applyFill="1" applyBorder="1" applyAlignment="1" applyProtection="1">
      <alignment vertical="center"/>
      <protection hidden="1"/>
    </xf>
    <xf numFmtId="0" fontId="5" fillId="4" borderId="61" xfId="0" applyNumberFormat="1" applyFont="1" applyFill="1" applyBorder="1" applyAlignment="1" applyProtection="1">
      <alignment horizontal="right" vertical="center"/>
      <protection hidden="1"/>
    </xf>
    <xf numFmtId="0" fontId="4" fillId="4" borderId="61" xfId="0" applyNumberFormat="1" applyFont="1" applyFill="1" applyBorder="1" applyAlignment="1" applyProtection="1">
      <alignment horizontal="right" vertical="center"/>
      <protection hidden="1"/>
    </xf>
    <xf numFmtId="190" fontId="4" fillId="4" borderId="62" xfId="0" applyNumberFormat="1" applyFont="1" applyFill="1" applyBorder="1" applyAlignment="1" applyProtection="1">
      <alignment horizontal="right" vertical="center"/>
      <protection hidden="1"/>
    </xf>
    <xf numFmtId="0" fontId="4" fillId="4" borderId="63" xfId="0" applyFont="1" applyFill="1" applyBorder="1" applyAlignment="1" applyProtection="1">
      <alignment vertical="center"/>
      <protection hidden="1"/>
    </xf>
    <xf numFmtId="0" fontId="4" fillId="4" borderId="25" xfId="0" applyFont="1" applyFill="1" applyBorder="1" applyAlignment="1" applyProtection="1">
      <alignment vertical="center" wrapText="1"/>
      <protection hidden="1"/>
    </xf>
    <xf numFmtId="0" fontId="4" fillId="4" borderId="31" xfId="0" applyFont="1" applyFill="1" applyBorder="1" applyAlignment="1" applyProtection="1">
      <alignment vertical="center"/>
      <protection hidden="1"/>
    </xf>
    <xf numFmtId="0" fontId="4" fillId="4" borderId="18" xfId="0" applyFont="1" applyFill="1" applyBorder="1" applyAlignment="1" applyProtection="1">
      <alignment vertical="center"/>
      <protection hidden="1"/>
    </xf>
    <xf numFmtId="0" fontId="5" fillId="34" borderId="64" xfId="0" applyFont="1" applyFill="1" applyBorder="1" applyAlignment="1" applyProtection="1">
      <alignment vertical="center" wrapText="1"/>
      <protection hidden="1"/>
    </xf>
    <xf numFmtId="0" fontId="4" fillId="34" borderId="64" xfId="0" applyFont="1" applyFill="1" applyBorder="1" applyAlignment="1" applyProtection="1">
      <alignment vertical="center" wrapText="1"/>
      <protection hidden="1"/>
    </xf>
    <xf numFmtId="0" fontId="4" fillId="34" borderId="65" xfId="0" applyFont="1" applyFill="1" applyBorder="1" applyAlignment="1" applyProtection="1">
      <alignment vertical="center" wrapText="1"/>
      <protection hidden="1"/>
    </xf>
    <xf numFmtId="190" fontId="73" fillId="4" borderId="66" xfId="0" applyNumberFormat="1" applyFont="1" applyFill="1" applyBorder="1" applyAlignment="1" applyProtection="1">
      <alignment horizontal="right" vertical="center"/>
      <protection hidden="1"/>
    </xf>
    <xf numFmtId="190" fontId="73" fillId="4" borderId="34" xfId="0" applyNumberFormat="1" applyFont="1" applyFill="1" applyBorder="1" applyAlignment="1" applyProtection="1">
      <alignment horizontal="right" vertical="center"/>
      <protection hidden="1"/>
    </xf>
    <xf numFmtId="0" fontId="72" fillId="2" borderId="52" xfId="0" applyFont="1" applyFill="1" applyBorder="1" applyAlignment="1" applyProtection="1">
      <alignment vertical="center" wrapText="1"/>
      <protection hidden="1"/>
    </xf>
    <xf numFmtId="190" fontId="4" fillId="2" borderId="52" xfId="0" applyNumberFormat="1" applyFont="1" applyFill="1" applyBorder="1" applyAlignment="1" applyProtection="1">
      <alignment vertical="center" wrapText="1"/>
      <protection hidden="1"/>
    </xf>
    <xf numFmtId="0" fontId="4" fillId="2" borderId="52" xfId="0" applyFont="1" applyFill="1" applyBorder="1" applyAlignment="1" applyProtection="1">
      <alignment vertical="center" wrapText="1"/>
      <protection hidden="1"/>
    </xf>
    <xf numFmtId="0" fontId="4" fillId="2" borderId="53" xfId="0" applyFont="1" applyFill="1" applyBorder="1" applyAlignment="1" applyProtection="1">
      <alignment vertical="center" wrapText="1"/>
      <protection hidden="1"/>
    </xf>
    <xf numFmtId="0" fontId="4" fillId="0" borderId="11" xfId="0" applyNumberFormat="1" applyFont="1" applyFill="1" applyBorder="1" applyAlignment="1" applyProtection="1">
      <alignment vertical="center" wrapText="1"/>
      <protection hidden="1" locked="0"/>
    </xf>
    <xf numFmtId="190" fontId="77" fillId="34" borderId="67" xfId="0" applyNumberFormat="1" applyFont="1" applyFill="1" applyBorder="1" applyAlignment="1" applyProtection="1">
      <alignment horizontal="left" vertical="center"/>
      <protection hidden="1"/>
    </xf>
    <xf numFmtId="10" fontId="77" fillId="34" borderId="68" xfId="0" applyNumberFormat="1" applyFont="1" applyFill="1" applyBorder="1" applyAlignment="1" applyProtection="1">
      <alignment vertical="center"/>
      <protection hidden="1"/>
    </xf>
    <xf numFmtId="0" fontId="0" fillId="8" borderId="46" xfId="0" applyFill="1" applyBorder="1" applyAlignment="1">
      <alignment vertical="center"/>
    </xf>
    <xf numFmtId="0" fontId="71" fillId="2" borderId="0" xfId="0" applyFont="1" applyFill="1" applyAlignment="1" applyProtection="1">
      <alignment vertical="center"/>
      <protection hidden="1"/>
    </xf>
    <xf numFmtId="0" fontId="78" fillId="34" borderId="68" xfId="0" applyFont="1" applyFill="1" applyBorder="1" applyAlignment="1" applyProtection="1">
      <alignment vertical="center" wrapText="1"/>
      <protection hidden="1"/>
    </xf>
    <xf numFmtId="190" fontId="4" fillId="4" borderId="69" xfId="0" applyNumberFormat="1" applyFont="1" applyFill="1" applyBorder="1" applyAlignment="1" applyProtection="1">
      <alignment horizontal="right" vertical="center"/>
      <protection hidden="1"/>
    </xf>
    <xf numFmtId="0" fontId="4" fillId="4" borderId="70" xfId="0" applyFont="1" applyFill="1" applyBorder="1" applyAlignment="1" applyProtection="1">
      <alignment horizontal="left" vertical="center"/>
      <protection hidden="1"/>
    </xf>
    <xf numFmtId="198" fontId="4" fillId="0" borderId="71" xfId="0" applyNumberFormat="1" applyFont="1" applyFill="1" applyBorder="1" applyAlignment="1" applyProtection="1">
      <alignment horizontal="center" vertical="center"/>
      <protection hidden="1" locked="0"/>
    </xf>
    <xf numFmtId="198" fontId="4" fillId="0" borderId="72" xfId="0" applyNumberFormat="1" applyFont="1" applyFill="1" applyBorder="1" applyAlignment="1" applyProtection="1">
      <alignment horizontal="center" vertical="center"/>
      <protection hidden="1" locked="0"/>
    </xf>
    <xf numFmtId="0" fontId="4" fillId="4" borderId="73" xfId="0" applyFont="1" applyFill="1" applyBorder="1" applyAlignment="1" applyProtection="1">
      <alignment vertical="center"/>
      <protection hidden="1"/>
    </xf>
    <xf numFmtId="190" fontId="4" fillId="4" borderId="74" xfId="0" applyNumberFormat="1" applyFont="1" applyFill="1" applyBorder="1" applyAlignment="1" applyProtection="1">
      <alignment horizontal="right" vertical="center"/>
      <protection hidden="1"/>
    </xf>
    <xf numFmtId="190" fontId="5" fillId="4" borderId="75" xfId="0" applyNumberFormat="1" applyFont="1" applyFill="1" applyBorder="1" applyAlignment="1" applyProtection="1">
      <alignment horizontal="right" vertical="center"/>
      <protection hidden="1"/>
    </xf>
    <xf numFmtId="190" fontId="4" fillId="4" borderId="75" xfId="0" applyNumberFormat="1" applyFont="1" applyFill="1" applyBorder="1" applyAlignment="1" applyProtection="1">
      <alignment horizontal="right" vertical="center"/>
      <protection hidden="1"/>
    </xf>
    <xf numFmtId="190" fontId="4" fillId="4" borderId="76" xfId="0" applyNumberFormat="1" applyFont="1" applyFill="1" applyBorder="1" applyAlignment="1" applyProtection="1">
      <alignment horizontal="right" vertical="center"/>
      <protection hidden="1"/>
    </xf>
    <xf numFmtId="0" fontId="4" fillId="0" borderId="7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5" xfId="0" applyFont="1" applyFill="1" applyBorder="1" applyAlignment="1" applyProtection="1">
      <alignment horizontal="left" vertical="center" wrapText="1"/>
      <protection hidden="1"/>
    </xf>
    <xf numFmtId="0" fontId="4" fillId="2" borderId="46" xfId="0" applyFont="1" applyFill="1" applyBorder="1" applyAlignment="1" applyProtection="1">
      <alignment horizontal="left" vertical="center" wrapText="1"/>
      <protection hidden="1"/>
    </xf>
    <xf numFmtId="0" fontId="16" fillId="10" borderId="0" xfId="0" applyFont="1" applyFill="1" applyBorder="1" applyAlignment="1" applyProtection="1">
      <alignment horizontal="left" vertical="center" wrapText="1"/>
      <protection hidden="1"/>
    </xf>
    <xf numFmtId="0" fontId="79" fillId="10" borderId="0" xfId="45" applyFont="1" applyFill="1" applyBorder="1" applyAlignment="1" applyProtection="1">
      <alignment horizontal="left" vertical="center"/>
      <protection/>
    </xf>
    <xf numFmtId="190" fontId="73" fillId="4" borderId="78" xfId="0" applyNumberFormat="1" applyFont="1" applyFill="1" applyBorder="1" applyAlignment="1" applyProtection="1">
      <alignment horizontal="right" vertical="center"/>
      <protection hidden="1"/>
    </xf>
    <xf numFmtId="0" fontId="4" fillId="2" borderId="79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4" borderId="80" xfId="0" applyFont="1" applyFill="1" applyBorder="1" applyAlignment="1" applyProtection="1">
      <alignment horizontal="center" vertical="center"/>
      <protection hidden="1"/>
    </xf>
    <xf numFmtId="190" fontId="4" fillId="4" borderId="66" xfId="0" applyNumberFormat="1" applyFont="1" applyFill="1" applyBorder="1" applyAlignment="1" applyProtection="1">
      <alignment horizontal="right" vertical="center"/>
      <protection hidden="1"/>
    </xf>
    <xf numFmtId="212" fontId="4" fillId="0" borderId="50" xfId="0" applyNumberFormat="1" applyFont="1" applyFill="1" applyBorder="1" applyAlignment="1" applyProtection="1">
      <alignment vertical="center" wrapText="1"/>
      <protection hidden="1"/>
    </xf>
    <xf numFmtId="0" fontId="11" fillId="10" borderId="51" xfId="0" applyFont="1" applyFill="1" applyBorder="1" applyAlignment="1" applyProtection="1">
      <alignment horizontal="left" vertical="center" wrapText="1"/>
      <protection hidden="1"/>
    </xf>
    <xf numFmtId="191" fontId="4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10" borderId="82" xfId="0" applyFont="1" applyFill="1" applyBorder="1" applyAlignment="1" applyProtection="1">
      <alignment horizontal="left" vertical="center" wrapText="1"/>
      <protection hidden="1"/>
    </xf>
    <xf numFmtId="191" fontId="4" fillId="0" borderId="83" xfId="0" applyNumberFormat="1" applyFont="1" applyFill="1" applyBorder="1" applyAlignment="1" applyProtection="1">
      <alignment vertical="center" wrapText="1"/>
      <protection hidden="1" locked="0"/>
    </xf>
    <xf numFmtId="0" fontId="72" fillId="2" borderId="84" xfId="0" applyFont="1" applyFill="1" applyBorder="1" applyAlignment="1" applyProtection="1">
      <alignment vertical="center" wrapText="1"/>
      <protection hidden="1"/>
    </xf>
    <xf numFmtId="190" fontId="4" fillId="2" borderId="84" xfId="0" applyNumberFormat="1" applyFont="1" applyFill="1" applyBorder="1" applyAlignment="1" applyProtection="1">
      <alignment vertical="center" wrapText="1"/>
      <protection hidden="1"/>
    </xf>
    <xf numFmtId="0" fontId="4" fillId="2" borderId="84" xfId="0" applyFont="1" applyFill="1" applyBorder="1" applyAlignment="1" applyProtection="1">
      <alignment vertical="center" wrapText="1"/>
      <protection hidden="1"/>
    </xf>
    <xf numFmtId="0" fontId="4" fillId="2" borderId="85" xfId="0" applyFont="1" applyFill="1" applyBorder="1" applyAlignment="1" applyProtection="1">
      <alignment vertical="center" wrapText="1"/>
      <protection hidden="1"/>
    </xf>
    <xf numFmtId="198" fontId="71" fillId="2" borderId="0" xfId="0" applyNumberFormat="1" applyFont="1" applyFill="1" applyBorder="1" applyAlignment="1" applyProtection="1">
      <alignment vertical="center"/>
      <protection hidden="1"/>
    </xf>
    <xf numFmtId="198" fontId="71" fillId="2" borderId="0" xfId="0" applyNumberFormat="1" applyFont="1" applyFill="1" applyAlignment="1" applyProtection="1">
      <alignment vertical="center"/>
      <protection hidden="1"/>
    </xf>
    <xf numFmtId="0" fontId="71" fillId="2" borderId="0" xfId="0" applyFont="1" applyFill="1" applyBorder="1" applyAlignment="1" applyProtection="1">
      <alignment vertical="center"/>
      <protection hidden="1"/>
    </xf>
    <xf numFmtId="0" fontId="4" fillId="8" borderId="17" xfId="0" applyFont="1" applyFill="1" applyBorder="1" applyAlignment="1" applyProtection="1">
      <alignment vertical="center" wrapText="1"/>
      <protection hidden="1"/>
    </xf>
    <xf numFmtId="10" fontId="73" fillId="8" borderId="11" xfId="0" applyNumberFormat="1" applyFont="1" applyFill="1" applyBorder="1" applyAlignment="1" applyProtection="1">
      <alignment vertical="center"/>
      <protection hidden="1"/>
    </xf>
    <xf numFmtId="190" fontId="73" fillId="8" borderId="11" xfId="0" applyNumberFormat="1" applyFont="1" applyFill="1" applyBorder="1" applyAlignment="1" applyProtection="1">
      <alignment horizontal="left" vertical="center"/>
      <protection hidden="1"/>
    </xf>
    <xf numFmtId="190" fontId="71" fillId="2" borderId="0" xfId="0" applyNumberFormat="1" applyFont="1" applyFill="1" applyAlignment="1" applyProtection="1">
      <alignment vertical="center"/>
      <protection hidden="1"/>
    </xf>
    <xf numFmtId="198" fontId="71" fillId="2" borderId="0" xfId="0" applyNumberFormat="1" applyFont="1" applyFill="1" applyAlignment="1" applyProtection="1">
      <alignment vertical="center" wrapText="1"/>
      <protection hidden="1"/>
    </xf>
    <xf numFmtId="0" fontId="71" fillId="2" borderId="0" xfId="0" applyFont="1" applyFill="1" applyBorder="1" applyAlignment="1" applyProtection="1">
      <alignment vertical="center" wrapText="1"/>
      <protection hidden="1"/>
    </xf>
    <xf numFmtId="0" fontId="71" fillId="2" borderId="0" xfId="0" applyFont="1" applyFill="1" applyBorder="1" applyAlignment="1" applyProtection="1">
      <alignment horizontal="right" vertical="center" wrapText="1"/>
      <protection hidden="1"/>
    </xf>
    <xf numFmtId="190" fontId="7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80" fillId="2" borderId="0" xfId="0" applyFont="1" applyFill="1" applyAlignment="1" applyProtection="1">
      <alignment vertical="center"/>
      <protection hidden="1"/>
    </xf>
    <xf numFmtId="10" fontId="4" fillId="2" borderId="0" xfId="0" applyNumberFormat="1" applyFont="1" applyFill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190" fontId="73" fillId="0" borderId="66" xfId="0" applyNumberFormat="1" applyFont="1" applyFill="1" applyBorder="1" applyAlignment="1" applyProtection="1">
      <alignment horizontal="right" vertical="center"/>
      <protection hidden="1" locked="0"/>
    </xf>
    <xf numFmtId="190" fontId="73" fillId="0" borderId="34" xfId="0" applyNumberFormat="1" applyFont="1" applyFill="1" applyBorder="1" applyAlignment="1" applyProtection="1">
      <alignment horizontal="right" vertical="center"/>
      <protection hidden="1" locked="0"/>
    </xf>
    <xf numFmtId="0" fontId="81" fillId="2" borderId="86" xfId="0" applyFont="1" applyFill="1" applyBorder="1" applyAlignment="1" applyProtection="1">
      <alignment horizontal="center" vertical="center" wrapText="1"/>
      <protection hidden="1"/>
    </xf>
    <xf numFmtId="0" fontId="4" fillId="4" borderId="87" xfId="0" applyFont="1" applyFill="1" applyBorder="1" applyAlignment="1" applyProtection="1">
      <alignment horizontal="center" vertical="center"/>
      <protection hidden="1"/>
    </xf>
    <xf numFmtId="0" fontId="4" fillId="4" borderId="57" xfId="0" applyFont="1" applyFill="1" applyBorder="1" applyAlignment="1" applyProtection="1">
      <alignment horizontal="center" vertical="center"/>
      <protection hidden="1"/>
    </xf>
    <xf numFmtId="190" fontId="73" fillId="4" borderId="88" xfId="0" applyNumberFormat="1" applyFont="1" applyFill="1" applyBorder="1" applyAlignment="1" applyProtection="1">
      <alignment horizontal="right" vertical="center"/>
      <protection hidden="1"/>
    </xf>
    <xf numFmtId="190" fontId="73" fillId="4" borderId="78" xfId="0" applyNumberFormat="1" applyFont="1" applyFill="1" applyBorder="1" applyAlignment="1" applyProtection="1">
      <alignment horizontal="right" vertical="center"/>
      <protection hidden="1"/>
    </xf>
    <xf numFmtId="49" fontId="82" fillId="4" borderId="89" xfId="0" applyNumberFormat="1" applyFont="1" applyFill="1" applyBorder="1" applyAlignment="1" applyProtection="1">
      <alignment horizontal="center" vertical="center"/>
      <protection hidden="1"/>
    </xf>
    <xf numFmtId="0" fontId="83" fillId="4" borderId="40" xfId="0" applyFont="1" applyFill="1" applyBorder="1" applyAlignment="1" applyProtection="1">
      <alignment horizontal="left" vertical="center"/>
      <protection hidden="1"/>
    </xf>
    <xf numFmtId="190" fontId="4" fillId="4" borderId="90" xfId="0" applyNumberFormat="1" applyFont="1" applyFill="1" applyBorder="1" applyAlignment="1" applyProtection="1">
      <alignment horizontal="right" vertical="center"/>
      <protection hidden="1"/>
    </xf>
    <xf numFmtId="190" fontId="4" fillId="4" borderId="91" xfId="0" applyNumberFormat="1" applyFont="1" applyFill="1" applyBorder="1" applyAlignment="1" applyProtection="1">
      <alignment horizontal="right" vertical="center"/>
      <protection hidden="1"/>
    </xf>
    <xf numFmtId="49" fontId="82" fillId="4" borderId="84" xfId="0" applyNumberFormat="1" applyFont="1" applyFill="1" applyBorder="1" applyAlignment="1" applyProtection="1">
      <alignment horizontal="center" vertical="center"/>
      <protection hidden="1"/>
    </xf>
    <xf numFmtId="0" fontId="4" fillId="0" borderId="7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92" xfId="0" applyNumberFormat="1" applyFont="1" applyFill="1" applyBorder="1" applyAlignment="1" applyProtection="1">
      <alignment horizontal="center" vertical="center" wrapText="1"/>
      <protection hidden="1" locked="0"/>
    </xf>
    <xf numFmtId="198" fontId="4" fillId="0" borderId="77" xfId="0" applyNumberFormat="1" applyFont="1" applyFill="1" applyBorder="1" applyAlignment="1" applyProtection="1">
      <alignment horizontal="center" vertical="center"/>
      <protection hidden="1" locked="0"/>
    </xf>
    <xf numFmtId="198" fontId="4" fillId="0" borderId="93" xfId="0" applyNumberFormat="1" applyFont="1" applyFill="1" applyBorder="1" applyAlignment="1" applyProtection="1">
      <alignment horizontal="center" vertical="center"/>
      <protection hidden="1" locked="0"/>
    </xf>
    <xf numFmtId="198" fontId="4" fillId="0" borderId="92" xfId="0" applyNumberFormat="1" applyFont="1" applyFill="1" applyBorder="1" applyAlignment="1" applyProtection="1">
      <alignment horizontal="center" vertical="center"/>
      <protection hidden="1" locked="0"/>
    </xf>
    <xf numFmtId="190" fontId="73" fillId="4" borderId="66" xfId="0" applyNumberFormat="1" applyFont="1" applyFill="1" applyBorder="1" applyAlignment="1" applyProtection="1">
      <alignment horizontal="right" vertical="center"/>
      <protection hidden="1"/>
    </xf>
    <xf numFmtId="190" fontId="4" fillId="4" borderId="88" xfId="0" applyNumberFormat="1" applyFont="1" applyFill="1" applyBorder="1" applyAlignment="1" applyProtection="1">
      <alignment horizontal="right" vertical="center"/>
      <protection hidden="1"/>
    </xf>
    <xf numFmtId="190" fontId="4" fillId="4" borderId="55" xfId="0" applyNumberFormat="1" applyFont="1" applyFill="1" applyBorder="1" applyAlignment="1" applyProtection="1">
      <alignment horizontal="right" vertical="center"/>
      <protection hidden="1"/>
    </xf>
    <xf numFmtId="0" fontId="4" fillId="4" borderId="61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left" vertical="center"/>
      <protection hidden="1"/>
    </xf>
    <xf numFmtId="0" fontId="0" fillId="2" borderId="41" xfId="0" applyFont="1" applyFill="1" applyBorder="1" applyAlignment="1" applyProtection="1">
      <alignment horizontal="left" vertical="center"/>
      <protection hidden="1"/>
    </xf>
    <xf numFmtId="0" fontId="0" fillId="2" borderId="42" xfId="0" applyFont="1" applyFill="1" applyBorder="1" applyAlignment="1" applyProtection="1">
      <alignment horizontal="left" vertical="center"/>
      <protection hidden="1"/>
    </xf>
    <xf numFmtId="0" fontId="0" fillId="2" borderId="19" xfId="0" applyFont="1" applyFill="1" applyBorder="1" applyAlignment="1" applyProtection="1">
      <alignment horizontal="left" vertical="center" wrapText="1"/>
      <protection hidden="1"/>
    </xf>
    <xf numFmtId="0" fontId="0" fillId="2" borderId="45" xfId="0" applyFont="1" applyFill="1" applyBorder="1" applyAlignment="1" applyProtection="1">
      <alignment horizontal="left" vertical="center" wrapText="1"/>
      <protection hidden="1"/>
    </xf>
    <xf numFmtId="0" fontId="0" fillId="2" borderId="46" xfId="0" applyFont="1" applyFill="1" applyBorder="1" applyAlignment="1" applyProtection="1">
      <alignment horizontal="left" vertical="center" wrapText="1"/>
      <protection hidden="1"/>
    </xf>
    <xf numFmtId="0" fontId="12" fillId="10" borderId="47" xfId="0" applyFont="1" applyFill="1" applyBorder="1" applyAlignment="1" applyProtection="1">
      <alignment horizontal="left" vertical="center"/>
      <protection hidden="1"/>
    </xf>
    <xf numFmtId="0" fontId="12" fillId="10" borderId="43" xfId="0" applyFont="1" applyFill="1" applyBorder="1" applyAlignment="1" applyProtection="1">
      <alignment horizontal="left" vertical="center"/>
      <protection hidden="1"/>
    </xf>
    <xf numFmtId="0" fontId="12" fillId="10" borderId="44" xfId="0" applyFont="1" applyFill="1" applyBorder="1" applyAlignment="1" applyProtection="1">
      <alignment horizontal="left" vertical="center"/>
      <protection hidden="1"/>
    </xf>
    <xf numFmtId="190" fontId="4" fillId="4" borderId="94" xfId="0" applyNumberFormat="1" applyFont="1" applyFill="1" applyBorder="1" applyAlignment="1" applyProtection="1">
      <alignment horizontal="right" vertical="center"/>
      <protection hidden="1"/>
    </xf>
    <xf numFmtId="190" fontId="4" fillId="4" borderId="95" xfId="0" applyNumberFormat="1" applyFont="1" applyFill="1" applyBorder="1" applyAlignment="1" applyProtection="1">
      <alignment horizontal="right" vertical="center"/>
      <protection hidden="1"/>
    </xf>
    <xf numFmtId="0" fontId="4" fillId="4" borderId="96" xfId="0" applyFont="1" applyFill="1" applyBorder="1" applyAlignment="1" applyProtection="1">
      <alignment horizontal="center" vertical="center"/>
      <protection hidden="1"/>
    </xf>
    <xf numFmtId="0" fontId="4" fillId="4" borderId="97" xfId="0" applyFont="1" applyFill="1" applyBorder="1" applyAlignment="1" applyProtection="1">
      <alignment horizontal="center" vertical="center"/>
      <protection hidden="1"/>
    </xf>
    <xf numFmtId="0" fontId="4" fillId="4" borderId="80" xfId="0" applyFont="1" applyFill="1" applyBorder="1" applyAlignment="1" applyProtection="1">
      <alignment horizontal="center" vertical="center"/>
      <protection hidden="1"/>
    </xf>
    <xf numFmtId="0" fontId="4" fillId="4" borderId="98" xfId="0" applyFont="1" applyFill="1" applyBorder="1" applyAlignment="1" applyProtection="1">
      <alignment horizontal="center" vertical="center"/>
      <protection hidden="1"/>
    </xf>
    <xf numFmtId="0" fontId="4" fillId="0" borderId="9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9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100" xfId="0" applyFont="1" applyFill="1" applyBorder="1" applyAlignment="1" applyProtection="1">
      <alignment horizontal="left" vertical="center" wrapText="1"/>
      <protection hidden="1"/>
    </xf>
    <xf numFmtId="0" fontId="4" fillId="2" borderId="101" xfId="0" applyFont="1" applyFill="1" applyBorder="1" applyAlignment="1" applyProtection="1">
      <alignment horizontal="left" vertical="center" wrapText="1"/>
      <protection hidden="1"/>
    </xf>
    <xf numFmtId="0" fontId="4" fillId="2" borderId="102" xfId="0" applyFont="1" applyFill="1" applyBorder="1" applyAlignment="1" applyProtection="1">
      <alignment horizontal="left" vertical="center" wrapText="1"/>
      <protection hidden="1"/>
    </xf>
    <xf numFmtId="0" fontId="81" fillId="2" borderId="0" xfId="0" applyFont="1" applyFill="1" applyAlignment="1" applyProtection="1">
      <alignment horizontal="center" vertical="center" wrapText="1"/>
      <protection hidden="1"/>
    </xf>
    <xf numFmtId="0" fontId="84" fillId="0" borderId="103" xfId="0" applyFont="1" applyFill="1" applyBorder="1" applyAlignment="1" applyProtection="1">
      <alignment horizontal="center" vertical="center" wrapText="1"/>
      <protection hidden="1"/>
    </xf>
    <xf numFmtId="0" fontId="84" fillId="0" borderId="93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2" borderId="45" xfId="0" applyFont="1" applyFill="1" applyBorder="1" applyAlignment="1" applyProtection="1">
      <alignment horizontal="left" vertical="center" wrapText="1"/>
      <protection hidden="1"/>
    </xf>
    <xf numFmtId="0" fontId="12" fillId="10" borderId="51" xfId="0" applyFont="1" applyFill="1" applyBorder="1" applyAlignment="1" applyProtection="1">
      <alignment horizontal="left" vertical="center"/>
      <protection hidden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190" fontId="73" fillId="4" borderId="88" xfId="0" applyNumberFormat="1" applyFont="1" applyFill="1" applyBorder="1" applyAlignment="1" applyProtection="1">
      <alignment vertical="center"/>
      <protection hidden="1"/>
    </xf>
    <xf numFmtId="190" fontId="73" fillId="4" borderId="78" xfId="0" applyNumberFormat="1" applyFont="1" applyFill="1" applyBorder="1" applyAlignment="1" applyProtection="1">
      <alignment vertical="center"/>
      <protection hidden="1"/>
    </xf>
    <xf numFmtId="0" fontId="4" fillId="2" borderId="49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71" fillId="2" borderId="0" xfId="0" applyFont="1" applyFill="1" applyAlignment="1" applyProtection="1">
      <alignment horizontal="center" vertical="center"/>
      <protection hidden="1"/>
    </xf>
    <xf numFmtId="0" fontId="11" fillId="10" borderId="17" xfId="0" applyFont="1" applyFill="1" applyBorder="1" applyAlignment="1" applyProtection="1">
      <alignment horizontal="left" vertical="center" wrapText="1"/>
      <protection hidden="1"/>
    </xf>
    <xf numFmtId="204" fontId="4" fillId="0" borderId="77" xfId="0" applyNumberFormat="1" applyFont="1" applyFill="1" applyBorder="1" applyAlignment="1" applyProtection="1">
      <alignment horizontal="left" vertical="center" wrapText="1"/>
      <protection hidden="1" locked="0"/>
    </xf>
    <xf numFmtId="204" fontId="4" fillId="0" borderId="93" xfId="0" applyNumberFormat="1" applyFont="1" applyFill="1" applyBorder="1" applyAlignment="1" applyProtection="1">
      <alignment horizontal="left" vertical="center" wrapText="1"/>
      <protection hidden="1" locked="0"/>
    </xf>
    <xf numFmtId="190" fontId="73" fillId="4" borderId="104" xfId="0" applyNumberFormat="1" applyFont="1" applyFill="1" applyBorder="1" applyAlignment="1" applyProtection="1">
      <alignment horizontal="right" vertical="center"/>
      <protection hidden="1"/>
    </xf>
    <xf numFmtId="190" fontId="73" fillId="4" borderId="105" xfId="0" applyNumberFormat="1" applyFont="1" applyFill="1" applyBorder="1" applyAlignment="1" applyProtection="1">
      <alignment horizontal="right" vertical="center"/>
      <protection hidden="1"/>
    </xf>
    <xf numFmtId="0" fontId="4" fillId="2" borderId="20" xfId="0" applyFont="1" applyFill="1" applyBorder="1" applyAlignment="1" applyProtection="1">
      <alignment horizontal="left" vertical="center" wrapText="1"/>
      <protection hidden="1"/>
    </xf>
    <xf numFmtId="0" fontId="4" fillId="2" borderId="41" xfId="0" applyFont="1" applyFill="1" applyBorder="1" applyAlignment="1" applyProtection="1">
      <alignment horizontal="left" vertical="center" wrapText="1"/>
      <protection hidden="1"/>
    </xf>
    <xf numFmtId="0" fontId="4" fillId="2" borderId="42" xfId="0" applyFont="1" applyFill="1" applyBorder="1" applyAlignment="1" applyProtection="1">
      <alignment horizontal="left" vertical="center" wrapText="1"/>
      <protection hidden="1"/>
    </xf>
    <xf numFmtId="0" fontId="4" fillId="2" borderId="19" xfId="0" applyFont="1" applyFill="1" applyBorder="1" applyAlignment="1" applyProtection="1">
      <alignment horizontal="left" vertical="center" wrapText="1"/>
      <protection hidden="1"/>
    </xf>
    <xf numFmtId="0" fontId="4" fillId="2" borderId="46" xfId="0" applyFont="1" applyFill="1" applyBorder="1" applyAlignment="1" applyProtection="1">
      <alignment horizontal="left" vertical="center" wrapText="1"/>
      <protection hidden="1"/>
    </xf>
    <xf numFmtId="0" fontId="83" fillId="4" borderId="41" xfId="0" applyFont="1" applyFill="1" applyBorder="1" applyAlignment="1" applyProtection="1">
      <alignment horizontal="left" vertical="center"/>
      <protection hidden="1"/>
    </xf>
    <xf numFmtId="0" fontId="83" fillId="4" borderId="21" xfId="0" applyFont="1" applyFill="1" applyBorder="1" applyAlignment="1" applyProtection="1">
      <alignment horizontal="left" vertical="center"/>
      <protection hidden="1"/>
    </xf>
    <xf numFmtId="0" fontId="4" fillId="0" borderId="7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93" xfId="0" applyNumberFormat="1" applyFont="1" applyFill="1" applyBorder="1" applyAlignment="1" applyProtection="1">
      <alignment horizontal="center" vertical="center"/>
      <protection hidden="1" locked="0"/>
    </xf>
    <xf numFmtId="205" fontId="4" fillId="0" borderId="77" xfId="0" applyNumberFormat="1" applyFont="1" applyFill="1" applyBorder="1" applyAlignment="1" applyProtection="1">
      <alignment horizontal="center" vertical="center"/>
      <protection hidden="1" locked="0"/>
    </xf>
    <xf numFmtId="205" fontId="4" fillId="0" borderId="93" xfId="0" applyNumberFormat="1" applyFont="1" applyFill="1" applyBorder="1" applyAlignment="1" applyProtection="1">
      <alignment horizontal="center" vertical="center"/>
      <protection hidden="1" locked="0"/>
    </xf>
    <xf numFmtId="190" fontId="73" fillId="0" borderId="88" xfId="0" applyNumberFormat="1" applyFont="1" applyFill="1" applyBorder="1" applyAlignment="1" applyProtection="1">
      <alignment horizontal="right" vertical="center"/>
      <protection hidden="1" locked="0"/>
    </xf>
    <xf numFmtId="190" fontId="73" fillId="0" borderId="78" xfId="0" applyNumberFormat="1" applyFont="1" applyFill="1" applyBorder="1" applyAlignment="1" applyProtection="1">
      <alignment horizontal="right" vertical="center"/>
      <protection hidden="1" locked="0"/>
    </xf>
    <xf numFmtId="0" fontId="79" fillId="10" borderId="17" xfId="45" applyFont="1" applyFill="1" applyBorder="1" applyAlignment="1" applyProtection="1">
      <alignment horizontal="left" vertical="center"/>
      <protection/>
    </xf>
    <xf numFmtId="0" fontId="79" fillId="10" borderId="0" xfId="45" applyFont="1" applyFill="1" applyBorder="1" applyAlignment="1" applyProtection="1">
      <alignment horizontal="left" vertical="center"/>
      <protection/>
    </xf>
    <xf numFmtId="0" fontId="11" fillId="10" borderId="51" xfId="0" applyFont="1" applyFill="1" applyBorder="1" applyAlignment="1" applyProtection="1">
      <alignment horizontal="left" vertical="center" wrapText="1"/>
      <protection hidden="1"/>
    </xf>
    <xf numFmtId="0" fontId="11" fillId="10" borderId="52" xfId="0" applyFont="1" applyFill="1" applyBorder="1" applyAlignment="1" applyProtection="1">
      <alignment horizontal="left" vertical="center" wrapText="1"/>
      <protection hidden="1"/>
    </xf>
    <xf numFmtId="0" fontId="5" fillId="10" borderId="52" xfId="0" applyFont="1" applyFill="1" applyBorder="1" applyAlignment="1" applyProtection="1">
      <alignment horizontal="left" vertical="center" wrapText="1"/>
      <protection hidden="1"/>
    </xf>
    <xf numFmtId="0" fontId="5" fillId="10" borderId="53" xfId="0" applyFont="1" applyFill="1" applyBorder="1" applyAlignment="1" applyProtection="1">
      <alignment horizontal="left" vertical="center" wrapText="1"/>
      <protection hidden="1"/>
    </xf>
    <xf numFmtId="0" fontId="4" fillId="0" borderId="77" xfId="0" applyFont="1" applyFill="1" applyBorder="1" applyAlignment="1" applyProtection="1">
      <alignment horizontal="center" vertical="center"/>
      <protection hidden="1" locked="0"/>
    </xf>
    <xf numFmtId="0" fontId="4" fillId="0" borderId="93" xfId="0" applyFont="1" applyFill="1" applyBorder="1" applyAlignment="1" applyProtection="1">
      <alignment horizontal="center" vertical="center"/>
      <protection hidden="1" locked="0"/>
    </xf>
    <xf numFmtId="0" fontId="84" fillId="0" borderId="106" xfId="0" applyFont="1" applyFill="1" applyBorder="1" applyAlignment="1" applyProtection="1">
      <alignment horizontal="center" vertical="center" wrapText="1"/>
      <protection hidden="1"/>
    </xf>
    <xf numFmtId="0" fontId="84" fillId="0" borderId="107" xfId="0" applyFont="1" applyFill="1" applyBorder="1" applyAlignment="1" applyProtection="1">
      <alignment horizontal="center" vertical="center" wrapText="1"/>
      <protection hidden="1"/>
    </xf>
    <xf numFmtId="10" fontId="73" fillId="4" borderId="0" xfId="0" applyNumberFormat="1" applyFont="1" applyFill="1" applyBorder="1" applyAlignment="1" applyProtection="1">
      <alignment horizontal="left" vertical="center" wrapText="1"/>
      <protection hidden="1"/>
    </xf>
    <xf numFmtId="10" fontId="73" fillId="4" borderId="11" xfId="0" applyNumberFormat="1" applyFont="1" applyFill="1" applyBorder="1" applyAlignment="1" applyProtection="1">
      <alignment horizontal="left" vertical="center" wrapText="1"/>
      <protection hidden="1"/>
    </xf>
    <xf numFmtId="0" fontId="85" fillId="33" borderId="51" xfId="0" applyFont="1" applyFill="1" applyBorder="1" applyAlignment="1" applyProtection="1">
      <alignment horizontal="left" vertical="center" wrapText="1"/>
      <protection hidden="1"/>
    </xf>
    <xf numFmtId="0" fontId="85" fillId="33" borderId="52" xfId="0" applyFont="1" applyFill="1" applyBorder="1" applyAlignment="1" applyProtection="1">
      <alignment horizontal="left" vertical="center" wrapText="1"/>
      <protection hidden="1"/>
    </xf>
    <xf numFmtId="0" fontId="85" fillId="33" borderId="53" xfId="0" applyFont="1" applyFill="1" applyBorder="1" applyAlignment="1" applyProtection="1">
      <alignment horizontal="left" vertical="center" wrapText="1"/>
      <protection hidden="1"/>
    </xf>
    <xf numFmtId="0" fontId="16" fillId="10" borderId="18" xfId="0" applyFont="1" applyFill="1" applyBorder="1" applyAlignment="1" applyProtection="1">
      <alignment horizontal="left" vertical="center" wrapText="1"/>
      <protection hidden="1"/>
    </xf>
    <xf numFmtId="0" fontId="16" fillId="10" borderId="40" xfId="0" applyFont="1" applyFill="1" applyBorder="1" applyAlignment="1" applyProtection="1">
      <alignment horizontal="left" vertical="center" wrapText="1"/>
      <protection hidden="1"/>
    </xf>
    <xf numFmtId="0" fontId="16" fillId="10" borderId="48" xfId="0" applyFont="1" applyFill="1" applyBorder="1" applyAlignment="1" applyProtection="1">
      <alignment horizontal="left" vertical="center" wrapText="1"/>
      <protection hidden="1"/>
    </xf>
    <xf numFmtId="0" fontId="16" fillId="10" borderId="17" xfId="0" applyFont="1" applyFill="1" applyBorder="1" applyAlignment="1" applyProtection="1">
      <alignment horizontal="left" vertical="center" wrapText="1"/>
      <protection hidden="1"/>
    </xf>
    <xf numFmtId="0" fontId="16" fillId="10" borderId="0" xfId="0" applyFont="1" applyFill="1" applyBorder="1" applyAlignment="1" applyProtection="1">
      <alignment horizontal="left" vertical="center" wrapText="1"/>
      <protection hidden="1"/>
    </xf>
    <xf numFmtId="0" fontId="16" fillId="10" borderId="11" xfId="0" applyFont="1" applyFill="1" applyBorder="1" applyAlignment="1" applyProtection="1">
      <alignment horizontal="left" vertical="center" wrapText="1"/>
      <protection hidden="1"/>
    </xf>
    <xf numFmtId="0" fontId="16" fillId="10" borderId="19" xfId="0" applyFont="1" applyFill="1" applyBorder="1" applyAlignment="1" applyProtection="1">
      <alignment horizontal="left" vertical="center" wrapText="1"/>
      <protection hidden="1"/>
    </xf>
    <xf numFmtId="0" fontId="16" fillId="10" borderId="45" xfId="0" applyFont="1" applyFill="1" applyBorder="1" applyAlignment="1" applyProtection="1">
      <alignment horizontal="left" vertical="center" wrapText="1"/>
      <protection hidden="1"/>
    </xf>
    <xf numFmtId="0" fontId="16" fillId="10" borderId="46" xfId="0" applyFont="1" applyFill="1" applyBorder="1" applyAlignment="1" applyProtection="1">
      <alignment horizontal="left" vertical="center" wrapText="1"/>
      <protection hidden="1"/>
    </xf>
    <xf numFmtId="10" fontId="77" fillId="34" borderId="0" xfId="0" applyNumberFormat="1" applyFont="1" applyFill="1" applyBorder="1" applyAlignment="1" applyProtection="1">
      <alignment horizontal="center" vertical="center"/>
      <protection hidden="1"/>
    </xf>
    <xf numFmtId="190" fontId="77" fillId="34" borderId="108" xfId="0" applyNumberFormat="1" applyFont="1" applyFill="1" applyBorder="1" applyAlignment="1" applyProtection="1">
      <alignment horizontal="center" vertical="center"/>
      <protection hidden="1"/>
    </xf>
    <xf numFmtId="0" fontId="78" fillId="34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10" borderId="52" xfId="0" applyFont="1" applyFill="1" applyBorder="1" applyAlignment="1" applyProtection="1">
      <alignment horizontal="left" vertical="center"/>
      <protection hidden="1"/>
    </xf>
    <xf numFmtId="0" fontId="12" fillId="10" borderId="53" xfId="0" applyFont="1" applyFill="1" applyBorder="1" applyAlignment="1" applyProtection="1">
      <alignment horizontal="left" vertical="center"/>
      <protection hidden="1"/>
    </xf>
    <xf numFmtId="0" fontId="4" fillId="4" borderId="109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5" fillId="4" borderId="110" xfId="0" applyNumberFormat="1" applyFont="1" applyFill="1" applyBorder="1" applyAlignment="1" applyProtection="1">
      <alignment horizontal="center" vertical="center"/>
      <protection hidden="1"/>
    </xf>
    <xf numFmtId="0" fontId="5" fillId="4" borderId="61" xfId="0" applyNumberFormat="1" applyFont="1" applyFill="1" applyBorder="1" applyAlignment="1" applyProtection="1">
      <alignment horizontal="center" vertical="center"/>
      <protection hidden="1"/>
    </xf>
    <xf numFmtId="0" fontId="4" fillId="2" borderId="111" xfId="0" applyFont="1" applyFill="1" applyBorder="1" applyAlignment="1" applyProtection="1">
      <alignment horizontal="left" vertical="center"/>
      <protection hidden="1"/>
    </xf>
    <xf numFmtId="0" fontId="71" fillId="2" borderId="0" xfId="0" applyFont="1" applyFill="1" applyAlignment="1" applyProtection="1">
      <alignment horizontal="center" vertical="center" wrapText="1"/>
      <protection hidden="1"/>
    </xf>
    <xf numFmtId="49" fontId="82" fillId="4" borderId="41" xfId="0" applyNumberFormat="1" applyFont="1" applyFill="1" applyBorder="1" applyAlignment="1" applyProtection="1">
      <alignment horizontal="center" vertical="center"/>
      <protection hidden="1"/>
    </xf>
    <xf numFmtId="0" fontId="84" fillId="0" borderId="84" xfId="0" applyFont="1" applyFill="1" applyBorder="1" applyAlignment="1" applyProtection="1">
      <alignment horizontal="center" vertical="center" wrapText="1"/>
      <protection hidden="1"/>
    </xf>
    <xf numFmtId="0" fontId="84" fillId="0" borderId="35" xfId="0" applyFont="1" applyFill="1" applyBorder="1" applyAlignment="1" applyProtection="1">
      <alignment horizontal="center" vertical="center" wrapText="1"/>
      <protection hidden="1"/>
    </xf>
    <xf numFmtId="0" fontId="4" fillId="2" borderId="79" xfId="0" applyFont="1" applyFill="1" applyBorder="1" applyAlignment="1" applyProtection="1">
      <alignment horizontal="left" vertical="center" wrapText="1"/>
      <protection hidden="1"/>
    </xf>
    <xf numFmtId="0" fontId="72" fillId="2" borderId="84" xfId="0" applyFont="1" applyFill="1" applyBorder="1" applyAlignment="1" applyProtection="1">
      <alignment horizontal="left" vertical="center" wrapText="1"/>
      <protection hidden="1"/>
    </xf>
    <xf numFmtId="49" fontId="86" fillId="34" borderId="0" xfId="0" applyNumberFormat="1" applyFont="1" applyFill="1" applyBorder="1" applyAlignment="1" applyProtection="1">
      <alignment horizontal="center" vertical="center"/>
      <protection hidden="1"/>
    </xf>
    <xf numFmtId="0" fontId="87" fillId="35" borderId="112" xfId="0" applyFont="1" applyFill="1" applyBorder="1" applyAlignment="1" applyProtection="1">
      <alignment horizontal="left" vertical="center" wrapText="1"/>
      <protection hidden="1"/>
    </xf>
    <xf numFmtId="0" fontId="87" fillId="35" borderId="113" xfId="0" applyFont="1" applyFill="1" applyBorder="1" applyAlignment="1" applyProtection="1">
      <alignment horizontal="left" vertical="center" wrapText="1"/>
      <protection hidden="1"/>
    </xf>
    <xf numFmtId="0" fontId="87" fillId="35" borderId="114" xfId="0" applyFont="1" applyFill="1" applyBorder="1" applyAlignment="1" applyProtection="1">
      <alignment horizontal="left" vertical="center" wrapText="1"/>
      <protection hidden="1"/>
    </xf>
    <xf numFmtId="49" fontId="82" fillId="4" borderId="101" xfId="0" applyNumberFormat="1" applyFont="1" applyFill="1" applyBorder="1" applyAlignment="1" applyProtection="1">
      <alignment horizontal="center" vertical="center"/>
      <protection hidden="1"/>
    </xf>
    <xf numFmtId="190" fontId="5" fillId="4" borderId="115" xfId="0" applyNumberFormat="1" applyFont="1" applyFill="1" applyBorder="1" applyAlignment="1" applyProtection="1">
      <alignment horizontal="center" vertical="center"/>
      <protection hidden="1"/>
    </xf>
    <xf numFmtId="190" fontId="5" fillId="4" borderId="75" xfId="0" applyNumberFormat="1" applyFont="1" applyFill="1" applyBorder="1" applyAlignment="1" applyProtection="1">
      <alignment horizontal="center" vertical="center"/>
      <protection hidden="1"/>
    </xf>
    <xf numFmtId="198" fontId="4" fillId="0" borderId="116" xfId="0" applyNumberFormat="1" applyFont="1" applyFill="1" applyBorder="1" applyAlignment="1" applyProtection="1">
      <alignment horizontal="center" vertical="center"/>
      <protection hidden="1" locked="0"/>
    </xf>
    <xf numFmtId="198" fontId="4" fillId="0" borderId="107" xfId="0" applyNumberFormat="1" applyFont="1" applyFill="1" applyBorder="1" applyAlignment="1" applyProtection="1">
      <alignment horizontal="center" vertical="center"/>
      <protection hidden="1" locked="0"/>
    </xf>
    <xf numFmtId="190" fontId="4" fillId="4" borderId="75" xfId="0" applyNumberFormat="1" applyFont="1" applyFill="1" applyBorder="1" applyAlignment="1" applyProtection="1">
      <alignment horizontal="center" vertical="center"/>
      <protection hidden="1"/>
    </xf>
    <xf numFmtId="10" fontId="73" fillId="8" borderId="0" xfId="0" applyNumberFormat="1" applyFont="1" applyFill="1" applyBorder="1" applyAlignment="1" applyProtection="1">
      <alignment horizontal="center" vertical="center" wrapText="1"/>
      <protection hidden="1"/>
    </xf>
    <xf numFmtId="190" fontId="73" fillId="8" borderId="0" xfId="0" applyNumberFormat="1" applyFont="1" applyFill="1" applyBorder="1" applyAlignment="1" applyProtection="1">
      <alignment horizontal="center" vertical="center" wrapText="1"/>
      <protection hidden="1"/>
    </xf>
    <xf numFmtId="49" fontId="82" fillId="4" borderId="0" xfId="0" applyNumberFormat="1" applyFont="1" applyFill="1" applyBorder="1" applyAlignment="1" applyProtection="1">
      <alignment horizontal="center" vertical="center"/>
      <protection hidden="1"/>
    </xf>
    <xf numFmtId="214" fontId="77" fillId="8" borderId="45" xfId="0" applyNumberFormat="1" applyFont="1" applyFill="1" applyBorder="1" applyAlignment="1" applyProtection="1">
      <alignment horizontal="center" vertical="center"/>
      <protection hidden="1"/>
    </xf>
    <xf numFmtId="0" fontId="84" fillId="0" borderId="0" xfId="0" applyFont="1" applyFill="1" applyBorder="1" applyAlignment="1" applyProtection="1">
      <alignment horizontal="center" vertical="center" wrapText="1"/>
      <protection hidden="1"/>
    </xf>
    <xf numFmtId="49" fontId="86" fillId="34" borderId="108" xfId="0" applyNumberFormat="1" applyFont="1" applyFill="1" applyBorder="1" applyAlignment="1" applyProtection="1">
      <alignment horizontal="center" vertical="center"/>
      <protection hidden="1"/>
    </xf>
    <xf numFmtId="49" fontId="82" fillId="8" borderId="0" xfId="0" applyNumberFormat="1" applyFont="1" applyFill="1" applyBorder="1" applyAlignment="1" applyProtection="1">
      <alignment horizontal="center" vertical="center"/>
      <protection hidden="1"/>
    </xf>
    <xf numFmtId="49" fontId="86" fillId="8" borderId="45" xfId="0" applyNumberFormat="1" applyFont="1" applyFill="1" applyBorder="1" applyAlignment="1" applyProtection="1">
      <alignment horizontal="center" vertical="center"/>
      <protection hidden="1"/>
    </xf>
    <xf numFmtId="0" fontId="87" fillId="36" borderId="47" xfId="0" applyFont="1" applyFill="1" applyBorder="1" applyAlignment="1" applyProtection="1">
      <alignment horizontal="left" vertical="center" wrapText="1"/>
      <protection hidden="1"/>
    </xf>
    <xf numFmtId="0" fontId="87" fillId="36" borderId="43" xfId="0" applyFont="1" applyFill="1" applyBorder="1" applyAlignment="1" applyProtection="1">
      <alignment horizontal="left" vertical="center" wrapText="1"/>
      <protection hidden="1"/>
    </xf>
    <xf numFmtId="0" fontId="87" fillId="36" borderId="44" xfId="0" applyFont="1" applyFill="1" applyBorder="1" applyAlignment="1" applyProtection="1">
      <alignment horizontal="left" vertical="center" wrapText="1"/>
      <protection hidden="1"/>
    </xf>
    <xf numFmtId="0" fontId="83" fillId="4" borderId="117" xfId="0" applyFont="1" applyFill="1" applyBorder="1" applyAlignment="1" applyProtection="1">
      <alignment horizontal="left" vertical="center"/>
      <protection hidden="1"/>
    </xf>
    <xf numFmtId="0" fontId="84" fillId="0" borderId="52" xfId="0" applyFont="1" applyFill="1" applyBorder="1" applyAlignment="1" applyProtection="1">
      <alignment horizontal="center" vertical="center" wrapText="1"/>
      <protection hidden="1"/>
    </xf>
    <xf numFmtId="0" fontId="84" fillId="0" borderId="118" xfId="0" applyFont="1" applyFill="1" applyBorder="1" applyAlignment="1" applyProtection="1">
      <alignment horizontal="center" vertical="center" wrapText="1"/>
      <protection hidden="1"/>
    </xf>
    <xf numFmtId="0" fontId="72" fillId="2" borderId="52" xfId="0" applyFont="1" applyFill="1" applyBorder="1" applyAlignment="1" applyProtection="1">
      <alignment horizontal="left" vertical="center" wrapText="1"/>
      <protection hidden="1"/>
    </xf>
    <xf numFmtId="10" fontId="73" fillId="4" borderId="0" xfId="0" applyNumberFormat="1" applyFont="1" applyFill="1" applyBorder="1" applyAlignment="1" applyProtection="1">
      <alignment vertical="center" wrapText="1"/>
      <protection hidden="1"/>
    </xf>
    <xf numFmtId="10" fontId="73" fillId="4" borderId="0" xfId="0" applyNumberFormat="1" applyFont="1" applyFill="1" applyBorder="1" applyAlignment="1" applyProtection="1">
      <alignment vertical="center" wrapText="1"/>
      <protection hidden="1" locked="0"/>
    </xf>
    <xf numFmtId="10" fontId="73" fillId="4" borderId="11" xfId="0" applyNumberFormat="1" applyFont="1" applyFill="1" applyBorder="1" applyAlignment="1" applyProtection="1">
      <alignment vertical="center" wrapText="1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xis.com/zh/products/video/design_tool/v2/" TargetMode="External" /><Relationship Id="rId2" Type="http://schemas.openxmlformats.org/officeDocument/2006/relationships/hyperlink" Target="http://www.acti.com/project_planner/WEBSITE/storage.html" TargetMode="External" /><Relationship Id="rId3" Type="http://schemas.openxmlformats.org/officeDocument/2006/relationships/hyperlink" Target="http://www.vivotek.com/downloadfiles/support/faq/24_calculator.zip" TargetMode="External" /><Relationship Id="rId4" Type="http://schemas.openxmlformats.org/officeDocument/2006/relationships/hyperlink" Target="http://www.iqeye.com/storage-calculator.html" TargetMode="External" /><Relationship Id="rId5" Type="http://schemas.openxmlformats.org/officeDocument/2006/relationships/hyperlink" Target="http://www.arecontvision.com/supports/bandwidth-calculator" TargetMode="External" /><Relationship Id="rId6" Type="http://schemas.openxmlformats.org/officeDocument/2006/relationships/hyperlink" Target="http://es.brickcom.com/support/calculator.php" TargetMode="External" /><Relationship Id="rId7" Type="http://schemas.openxmlformats.org/officeDocument/2006/relationships/hyperlink" Target="http://panasonic.net/pcc/support/netwkcam/technic/rcrdr_calculator/index.html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271"/>
  <sheetViews>
    <sheetView tabSelected="1" zoomScale="70" zoomScaleNormal="70" workbookViewId="0" topLeftCell="A1">
      <selection activeCell="H99" sqref="H99"/>
    </sheetView>
  </sheetViews>
  <sheetFormatPr defaultColWidth="9.00390625" defaultRowHeight="15.75"/>
  <cols>
    <col min="1" max="1" width="3.375" style="1" customWidth="1"/>
    <col min="2" max="2" width="53.375" style="1" customWidth="1"/>
    <col min="3" max="3" width="3.00390625" style="1" customWidth="1"/>
    <col min="4" max="4" width="3.125" style="1" customWidth="1"/>
    <col min="5" max="5" width="16.625" style="1" customWidth="1"/>
    <col min="6" max="6" width="14.25390625" style="1" customWidth="1"/>
    <col min="7" max="7" width="3.00390625" style="1" customWidth="1"/>
    <col min="8" max="8" width="16.625" style="1" customWidth="1"/>
    <col min="9" max="9" width="14.25390625" style="1" customWidth="1"/>
    <col min="10" max="10" width="3.00390625" style="1" customWidth="1"/>
    <col min="11" max="11" width="16.625" style="1" customWidth="1"/>
    <col min="12" max="12" width="14.25390625" style="1" customWidth="1"/>
    <col min="13" max="13" width="3.00390625" style="1" customWidth="1"/>
    <col min="14" max="14" width="16.625" style="1" customWidth="1"/>
    <col min="15" max="15" width="14.25390625" style="1" customWidth="1"/>
    <col min="16" max="16" width="3.00390625" style="2" customWidth="1"/>
    <col min="17" max="17" width="16.625" style="2" customWidth="1"/>
    <col min="18" max="18" width="16.625" style="1" customWidth="1"/>
    <col min="19" max="19" width="10.625" style="5" bestFit="1" customWidth="1"/>
    <col min="20" max="34" width="9.00390625" style="5" customWidth="1"/>
    <col min="35" max="16384" width="9.00390625" style="1" customWidth="1"/>
  </cols>
  <sheetData>
    <row r="1" spans="15:17" ht="4.5" customHeight="1" thickBot="1">
      <c r="O1" s="2"/>
      <c r="Q1" s="1"/>
    </row>
    <row r="2" spans="2:17" ht="21">
      <c r="B2" s="269" t="s">
        <v>245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1"/>
    </row>
    <row r="3" spans="2:17" ht="18.75">
      <c r="B3" s="272" t="s">
        <v>246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</row>
    <row r="4" spans="2:34" s="7" customFormat="1" ht="18.75">
      <c r="B4" s="239" t="s">
        <v>247</v>
      </c>
      <c r="C4" s="276"/>
      <c r="D4" s="276"/>
      <c r="E4" s="276"/>
      <c r="F4" s="276"/>
      <c r="G4" s="276"/>
      <c r="H4" s="276"/>
      <c r="I4" s="276"/>
      <c r="J4" s="152"/>
      <c r="K4" s="102"/>
      <c r="L4" s="102"/>
      <c r="M4" s="102"/>
      <c r="N4" s="102"/>
      <c r="O4" s="102"/>
      <c r="P4" s="102"/>
      <c r="Q4" s="103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2:34" s="7" customFormat="1" ht="18.75">
      <c r="B5" s="275" t="s">
        <v>205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2:34" s="7" customFormat="1" ht="18.75">
      <c r="B6" s="275" t="s">
        <v>206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2:34" s="7" customFormat="1" ht="18.75">
      <c r="B7" s="257" t="s">
        <v>248</v>
      </c>
      <c r="C7" s="258"/>
      <c r="D7" s="258"/>
      <c r="E7" s="258"/>
      <c r="F7" s="258"/>
      <c r="G7" s="258"/>
      <c r="H7" s="258"/>
      <c r="I7" s="258"/>
      <c r="J7" s="153"/>
      <c r="K7" s="104"/>
      <c r="L7" s="104"/>
      <c r="M7" s="104"/>
      <c r="N7" s="104"/>
      <c r="O7" s="104"/>
      <c r="P7" s="104"/>
      <c r="Q7" s="105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2:34" s="7" customFormat="1" ht="17.25" customHeight="1">
      <c r="B8" s="257" t="s">
        <v>204</v>
      </c>
      <c r="C8" s="258"/>
      <c r="D8" s="258"/>
      <c r="E8" s="258"/>
      <c r="F8" s="258"/>
      <c r="G8" s="258"/>
      <c r="H8" s="258"/>
      <c r="I8" s="258"/>
      <c r="J8" s="153"/>
      <c r="K8" s="104"/>
      <c r="L8" s="104"/>
      <c r="M8" s="104"/>
      <c r="N8" s="104"/>
      <c r="O8" s="104"/>
      <c r="P8" s="104"/>
      <c r="Q8" s="105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2:34" s="7" customFormat="1" ht="18.75">
      <c r="B9" s="275" t="s">
        <v>249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7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2:34" s="7" customFormat="1" ht="19.5" thickBot="1">
      <c r="B10" s="278" t="s">
        <v>237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80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9:34" s="7" customFormat="1" ht="16.5" thickBot="1"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2:17" ht="18.75" customHeight="1">
      <c r="B12" s="259" t="s">
        <v>250</v>
      </c>
      <c r="C12" s="260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2"/>
    </row>
    <row r="13" spans="2:34" s="7" customFormat="1" ht="15.75">
      <c r="B13" s="29" t="s">
        <v>4</v>
      </c>
      <c r="C13" s="94"/>
      <c r="D13" s="36"/>
      <c r="E13" s="37" t="s">
        <v>5</v>
      </c>
      <c r="F13" s="186" t="s">
        <v>6</v>
      </c>
      <c r="G13" s="187"/>
      <c r="H13" s="37" t="s">
        <v>251</v>
      </c>
      <c r="I13" s="186" t="s">
        <v>7</v>
      </c>
      <c r="J13" s="187"/>
      <c r="K13" s="37" t="s">
        <v>252</v>
      </c>
      <c r="L13" s="186" t="s">
        <v>11</v>
      </c>
      <c r="M13" s="187"/>
      <c r="N13" s="37" t="s">
        <v>8</v>
      </c>
      <c r="O13" s="186" t="s">
        <v>9</v>
      </c>
      <c r="P13" s="187"/>
      <c r="Q13" s="38" t="s">
        <v>10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2:34" s="7" customFormat="1" ht="15.75">
      <c r="B14" s="48" t="s">
        <v>178</v>
      </c>
      <c r="C14" s="225" t="s">
        <v>155</v>
      </c>
      <c r="D14" s="226"/>
      <c r="E14" s="43" t="s">
        <v>0</v>
      </c>
      <c r="F14" s="263" t="s">
        <v>0</v>
      </c>
      <c r="G14" s="264"/>
      <c r="H14" s="43" t="s">
        <v>0</v>
      </c>
      <c r="I14" s="263" t="s">
        <v>0</v>
      </c>
      <c r="J14" s="264"/>
      <c r="K14" s="43" t="s">
        <v>0</v>
      </c>
      <c r="L14" s="263" t="s">
        <v>0</v>
      </c>
      <c r="M14" s="264"/>
      <c r="N14" s="43" t="s">
        <v>0</v>
      </c>
      <c r="O14" s="263" t="s">
        <v>0</v>
      </c>
      <c r="P14" s="264"/>
      <c r="Q14" s="44" t="s">
        <v>0</v>
      </c>
      <c r="R14" s="31" t="s">
        <v>46</v>
      </c>
      <c r="S14" s="138"/>
      <c r="T14" s="138" t="s">
        <v>179</v>
      </c>
      <c r="U14" s="138" t="s">
        <v>180</v>
      </c>
      <c r="V14" s="138" t="s">
        <v>181</v>
      </c>
      <c r="W14" s="138" t="s">
        <v>182</v>
      </c>
      <c r="X14" s="138" t="s">
        <v>234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2:34" s="7" customFormat="1" ht="15.75">
      <c r="B15" s="40" t="s">
        <v>253</v>
      </c>
      <c r="C15" s="225" t="s">
        <v>155</v>
      </c>
      <c r="D15" s="226"/>
      <c r="E15" s="46"/>
      <c r="F15" s="197"/>
      <c r="G15" s="198"/>
      <c r="H15" s="46"/>
      <c r="I15" s="197"/>
      <c r="J15" s="198"/>
      <c r="K15" s="46">
        <v>20</v>
      </c>
      <c r="L15" s="197"/>
      <c r="M15" s="198"/>
      <c r="N15" s="46"/>
      <c r="O15" s="197"/>
      <c r="P15" s="198"/>
      <c r="Q15" s="47"/>
      <c r="R15" s="31" t="str">
        <f aca="true" t="shared" si="0" ref="R15:R20">R$14</f>
        <v>*Required</v>
      </c>
      <c r="S15" s="138"/>
      <c r="T15" s="169">
        <f>SUM(E15:Q15)</f>
        <v>20</v>
      </c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2:34" s="7" customFormat="1" ht="15.75">
      <c r="B16" s="72" t="s">
        <v>183</v>
      </c>
      <c r="C16" s="225" t="s">
        <v>155</v>
      </c>
      <c r="D16" s="226"/>
      <c r="E16" s="45">
        <v>30</v>
      </c>
      <c r="F16" s="251">
        <v>30</v>
      </c>
      <c r="G16" s="252"/>
      <c r="H16" s="45">
        <v>30</v>
      </c>
      <c r="I16" s="251">
        <v>30</v>
      </c>
      <c r="J16" s="252"/>
      <c r="K16" s="45">
        <v>30</v>
      </c>
      <c r="L16" s="251">
        <v>30</v>
      </c>
      <c r="M16" s="252"/>
      <c r="N16" s="45">
        <v>30</v>
      </c>
      <c r="O16" s="251">
        <v>30</v>
      </c>
      <c r="P16" s="252"/>
      <c r="Q16" s="62">
        <v>30</v>
      </c>
      <c r="R16" s="31" t="str">
        <f t="shared" si="0"/>
        <v>*Required</v>
      </c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2:34" s="7" customFormat="1" ht="15.75">
      <c r="B17" s="60" t="s">
        <v>254</v>
      </c>
      <c r="C17" s="225" t="s">
        <v>155</v>
      </c>
      <c r="D17" s="226"/>
      <c r="E17" s="61" t="s">
        <v>171</v>
      </c>
      <c r="F17" s="251" t="s">
        <v>171</v>
      </c>
      <c r="G17" s="252"/>
      <c r="H17" s="61" t="s">
        <v>171</v>
      </c>
      <c r="I17" s="251" t="s">
        <v>171</v>
      </c>
      <c r="J17" s="252"/>
      <c r="K17" s="61" t="s">
        <v>171</v>
      </c>
      <c r="L17" s="251" t="s">
        <v>171</v>
      </c>
      <c r="M17" s="252"/>
      <c r="N17" s="61" t="s">
        <v>171</v>
      </c>
      <c r="O17" s="251" t="s">
        <v>171</v>
      </c>
      <c r="P17" s="252"/>
      <c r="Q17" s="62" t="s">
        <v>171</v>
      </c>
      <c r="R17" s="31" t="str">
        <f t="shared" si="0"/>
        <v>*Required</v>
      </c>
      <c r="S17" s="138"/>
      <c r="T17" s="170" t="s">
        <v>255</v>
      </c>
      <c r="U17" s="170" t="s">
        <v>256</v>
      </c>
      <c r="V17" s="170" t="s">
        <v>257</v>
      </c>
      <c r="W17" s="170" t="s">
        <v>258</v>
      </c>
      <c r="X17" s="170" t="s">
        <v>259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2:34" s="7" customFormat="1" ht="15.75">
      <c r="B18" s="59" t="s">
        <v>184</v>
      </c>
      <c r="C18" s="225" t="s">
        <v>155</v>
      </c>
      <c r="D18" s="226"/>
      <c r="E18" s="61" t="s">
        <v>175</v>
      </c>
      <c r="F18" s="251" t="s">
        <v>175</v>
      </c>
      <c r="G18" s="252"/>
      <c r="H18" s="61" t="s">
        <v>175</v>
      </c>
      <c r="I18" s="251" t="s">
        <v>175</v>
      </c>
      <c r="J18" s="252"/>
      <c r="K18" s="61" t="s">
        <v>175</v>
      </c>
      <c r="L18" s="251" t="s">
        <v>175</v>
      </c>
      <c r="M18" s="252"/>
      <c r="N18" s="61" t="s">
        <v>175</v>
      </c>
      <c r="O18" s="251" t="s">
        <v>175</v>
      </c>
      <c r="P18" s="252"/>
      <c r="Q18" s="62" t="s">
        <v>175</v>
      </c>
      <c r="R18" s="31" t="str">
        <f t="shared" si="0"/>
        <v>*Required</v>
      </c>
      <c r="S18" s="138"/>
      <c r="T18" s="170" t="s">
        <v>255</v>
      </c>
      <c r="U18" s="170" t="s">
        <v>256</v>
      </c>
      <c r="V18" s="138" t="s">
        <v>185</v>
      </c>
      <c r="W18" s="170" t="s">
        <v>258</v>
      </c>
      <c r="X18" s="170" t="s">
        <v>259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2:34" s="7" customFormat="1" ht="15.75">
      <c r="B19" s="40" t="s">
        <v>260</v>
      </c>
      <c r="C19" s="225" t="s">
        <v>155</v>
      </c>
      <c r="D19" s="226"/>
      <c r="E19" s="46" t="s">
        <v>169</v>
      </c>
      <c r="F19" s="197" t="s">
        <v>169</v>
      </c>
      <c r="G19" s="198"/>
      <c r="H19" s="46" t="s">
        <v>169</v>
      </c>
      <c r="I19" s="197" t="s">
        <v>169</v>
      </c>
      <c r="J19" s="198"/>
      <c r="K19" s="46" t="s">
        <v>169</v>
      </c>
      <c r="L19" s="197" t="s">
        <v>169</v>
      </c>
      <c r="M19" s="198"/>
      <c r="N19" s="46" t="s">
        <v>169</v>
      </c>
      <c r="O19" s="197" t="s">
        <v>169</v>
      </c>
      <c r="P19" s="198"/>
      <c r="Q19" s="47" t="s">
        <v>169</v>
      </c>
      <c r="R19" s="31" t="str">
        <f t="shared" si="0"/>
        <v>*Required</v>
      </c>
      <c r="S19" s="138"/>
      <c r="T19" s="170" t="s">
        <v>186</v>
      </c>
      <c r="U19" s="138" t="s">
        <v>170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2:34" s="7" customFormat="1" ht="15.75">
      <c r="B20" s="40" t="s">
        <v>187</v>
      </c>
      <c r="C20" s="225" t="s">
        <v>155</v>
      </c>
      <c r="D20" s="226"/>
      <c r="E20" s="41">
        <v>24</v>
      </c>
      <c r="F20" s="253">
        <v>24</v>
      </c>
      <c r="G20" s="254"/>
      <c r="H20" s="41">
        <v>24</v>
      </c>
      <c r="I20" s="253">
        <v>24</v>
      </c>
      <c r="J20" s="254"/>
      <c r="K20" s="41">
        <v>24</v>
      </c>
      <c r="L20" s="253">
        <v>24</v>
      </c>
      <c r="M20" s="254"/>
      <c r="N20" s="41">
        <v>24</v>
      </c>
      <c r="O20" s="253">
        <v>24</v>
      </c>
      <c r="P20" s="254"/>
      <c r="Q20" s="42">
        <v>24</v>
      </c>
      <c r="R20" s="31" t="str">
        <f t="shared" si="0"/>
        <v>*Required</v>
      </c>
      <c r="S20" s="138"/>
      <c r="T20" s="170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2:34" s="7" customFormat="1" ht="15.75">
      <c r="B21" s="123" t="s">
        <v>221</v>
      </c>
      <c r="C21" s="190" t="s">
        <v>15</v>
      </c>
      <c r="D21" s="190"/>
      <c r="E21" s="183">
        <f>1.43*E107*E108*E106*(IF(E19="No",(0.1662*(E16^3)-10.895*(E16^2)+327.66*E16+82.031)*E109/50,1.7*(0.1662*(E16^3)-10.895*(E16^2)+327.66*E16+82.031)*E109/50))/1000</f>
        <v>0.38625927740400007</v>
      </c>
      <c r="F21" s="255">
        <f>1.43*F107*F108*F106*(IF(F19="No",(0.1662*(F16^3)-10.895*(F16^2)+327.66*F16+82.031)*F109/50,1.7*(0.1662*(F16^3)-10.895*(F16^2)+327.66*F16+82.031)*F109/50))/1000</f>
        <v>0.9380582451240003</v>
      </c>
      <c r="G21" s="256"/>
      <c r="H21" s="183">
        <f>1.43*H107*H108*H106*(IF(H19="No",(0.1662*(H16^3)-10.895*(H16^2)+327.66*H16+82.031)*H109/50,1.7*(0.1662*(H16^3)-10.895*(H16^2)+327.66*H16+82.031)*H109/50))/1000</f>
        <v>2.7589948386</v>
      </c>
      <c r="I21" s="255">
        <f>1.43*I107*I108*I106*(IF(I19="No",(0.1662*(I16^3)-10.895*(I16^2)+327.66*I16+82.031)*I109/50,1.7*(0.1662*(I16^3)-10.895*(I16^2)+327.66*I16+82.031)*I109/50))/1000</f>
        <v>3.86259277404</v>
      </c>
      <c r="J21" s="256"/>
      <c r="K21" s="183">
        <f>1.43*K107*K108*K106*(IF(K19="No",(0.1662*(K16^3)-10.895*(K16^2)+327.66*K16+82.031)*K109/50,1.7*(0.1662*(K16^3)-10.895*(K16^2)+327.66*K16+82.031)*K109/50))/1000</f>
        <v>6.180148438464001</v>
      </c>
      <c r="L21" s="255">
        <f>1.43*L107*L108*L106*(IF(L19="No",(0.1662*(L16^3)-10.895*(L16^2)+327.66*L16+82.031)*L109/50,1.7*(0.1662*(L16^3)-10.895*(L16^2)+327.66*L16+82.031)*L109/50))/1000</f>
        <v>9.408172399626</v>
      </c>
      <c r="M21" s="256"/>
      <c r="N21" s="183">
        <f>1.43*N107*N108*N106*(IF(N19="No",(0.1662*(N16^3)-10.895*(N16^2)+327.66*N16+82.031)*N109/50,1.7*(0.1662*(N16^3)-10.895*(N16^2)+327.66*N16+82.031)*N109/50))/1000</f>
        <v>12.029217496296</v>
      </c>
      <c r="O21" s="255">
        <f>1.43*O107*O108*O106*(IF(O19="No",(0.1662*(O16^3)-10.895*(O16^2)+327.66*O16+82.031)*O109/50,1.7*(0.1662*(O16^3)-10.895*(O16^2)+327.66*O16+82.031)*O109/50))/1000</f>
        <v>14.650262592966001</v>
      </c>
      <c r="P21" s="256"/>
      <c r="Q21" s="184">
        <f>1.43*Q107*Q108*Q106*(IF(Q19="No",(0.1662*(Q16^3)-10.895*(Q16^2)+327.66*Q16+82.031)*Q109/50,1.7*(0.1662*(Q16^3)-10.895*(Q16^2)+327.66*Q16+82.031)*Q109/50))/1000</f>
        <v>27.589948386000003</v>
      </c>
      <c r="R21" s="31"/>
      <c r="S21" s="138"/>
      <c r="T21" s="170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2:34" s="7" customFormat="1" ht="15.75">
      <c r="B22" s="123" t="s">
        <v>188</v>
      </c>
      <c r="C22" s="190" t="s">
        <v>15</v>
      </c>
      <c r="D22" s="190"/>
      <c r="E22" s="128">
        <f>E15*E21</f>
        <v>0</v>
      </c>
      <c r="F22" s="188">
        <f>F15*F21</f>
        <v>0</v>
      </c>
      <c r="G22" s="189"/>
      <c r="H22" s="128">
        <f>H15*H21</f>
        <v>0</v>
      </c>
      <c r="I22" s="188">
        <f>I15*I21</f>
        <v>0</v>
      </c>
      <c r="J22" s="189"/>
      <c r="K22" s="128">
        <f>K15*K21</f>
        <v>123.60296876928003</v>
      </c>
      <c r="L22" s="188">
        <f>L15*L21</f>
        <v>0</v>
      </c>
      <c r="M22" s="189"/>
      <c r="N22" s="128">
        <f>N15*N21</f>
        <v>0</v>
      </c>
      <c r="O22" s="188">
        <f>O15*O21</f>
        <v>0</v>
      </c>
      <c r="P22" s="189"/>
      <c r="Q22" s="129">
        <f>Q15*Q21</f>
        <v>0</v>
      </c>
      <c r="S22" s="138"/>
      <c r="T22" s="170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2:34" s="7" customFormat="1" ht="15.75" hidden="1">
      <c r="B23" s="124" t="s">
        <v>197</v>
      </c>
      <c r="C23" s="190" t="s">
        <v>15</v>
      </c>
      <c r="D23" s="190"/>
      <c r="E23" s="49">
        <f>E22*E20*60*60/(1000*8)</f>
        <v>0</v>
      </c>
      <c r="F23" s="242">
        <f>F22*F20*60*60/(1000*8)</f>
        <v>0</v>
      </c>
      <c r="G23" s="243"/>
      <c r="H23" s="49">
        <f>H22*H20*60*60/(1000*8)</f>
        <v>0</v>
      </c>
      <c r="I23" s="242">
        <f>I22*I20*60*60/(1000*8)</f>
        <v>0</v>
      </c>
      <c r="J23" s="243"/>
      <c r="K23" s="49">
        <f>K22*K20*60*60/(1000*8)</f>
        <v>1334.912062708224</v>
      </c>
      <c r="L23" s="242">
        <f>L22*L20*60*60/(1000*8)</f>
        <v>0</v>
      </c>
      <c r="M23" s="243"/>
      <c r="N23" s="49">
        <f>N22*N20*60*60/(1000*8)</f>
        <v>0</v>
      </c>
      <c r="O23" s="242">
        <f>O22*O20*60*60/(1000*8)</f>
        <v>0</v>
      </c>
      <c r="P23" s="243"/>
      <c r="Q23" s="114">
        <f>Q22*Q20*60*60/(1000*8)</f>
        <v>0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2:34" s="7" customFormat="1" ht="15.75">
      <c r="B24" s="124" t="s">
        <v>214</v>
      </c>
      <c r="C24" s="190" t="s">
        <v>15</v>
      </c>
      <c r="D24" s="190"/>
      <c r="E24" s="74">
        <f>IF(SUM(E23:Q23)&lt;1024,SUM(E23:Q23),SUM(E23:Q23)/1000)</f>
        <v>1.334912062708224</v>
      </c>
      <c r="F24" s="191" t="str">
        <f>IF(SUM(E23:Q23)&lt;1024,"GB","TB")</f>
        <v>TB</v>
      </c>
      <c r="G24" s="320"/>
      <c r="H24" s="76"/>
      <c r="I24" s="76"/>
      <c r="J24" s="76"/>
      <c r="K24" s="76"/>
      <c r="L24" s="76"/>
      <c r="M24" s="76"/>
      <c r="N24" s="76"/>
      <c r="O24" s="76"/>
      <c r="P24" s="76"/>
      <c r="Q24" s="77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2:34" s="7" customFormat="1" ht="15.75">
      <c r="B25" s="29" t="s">
        <v>189</v>
      </c>
      <c r="C25" s="190" t="s">
        <v>15</v>
      </c>
      <c r="D25" s="190"/>
      <c r="E25" s="84">
        <f>SUM(E22:Q22)</f>
        <v>123.60296876928003</v>
      </c>
      <c r="F25" s="249" t="s">
        <v>3</v>
      </c>
      <c r="G25" s="250"/>
      <c r="H25" s="10"/>
      <c r="I25" s="10"/>
      <c r="J25" s="10"/>
      <c r="K25" s="10"/>
      <c r="L25" s="10"/>
      <c r="M25" s="10"/>
      <c r="N25" s="10"/>
      <c r="O25" s="10"/>
      <c r="P25" s="10"/>
      <c r="Q25" s="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2:34" s="7" customFormat="1" ht="15.75">
      <c r="B26" s="244" t="s">
        <v>232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2:34" s="7" customFormat="1" ht="16.5" thickBot="1">
      <c r="B27" s="247" t="s">
        <v>57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4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4:17" ht="16.5" thickBot="1">
      <c r="N28" s="2"/>
      <c r="P28" s="1"/>
      <c r="Q28" s="1"/>
    </row>
    <row r="29" spans="2:21" ht="19.5" customHeight="1">
      <c r="B29" s="160" t="s">
        <v>277</v>
      </c>
      <c r="C29" s="321" t="s">
        <v>155</v>
      </c>
      <c r="D29" s="322"/>
      <c r="E29" s="161" t="s">
        <v>280</v>
      </c>
      <c r="F29" s="130"/>
      <c r="G29" s="323" t="s">
        <v>46</v>
      </c>
      <c r="H29" s="323"/>
      <c r="I29" s="131"/>
      <c r="J29" s="131"/>
      <c r="K29" s="131"/>
      <c r="L29" s="132"/>
      <c r="M29" s="132"/>
      <c r="N29" s="131"/>
      <c r="O29" s="132"/>
      <c r="P29" s="132"/>
      <c r="Q29" s="133"/>
      <c r="S29" s="5" t="s">
        <v>281</v>
      </c>
      <c r="T29" s="5" t="s">
        <v>518</v>
      </c>
      <c r="U29" s="5" t="s">
        <v>276</v>
      </c>
    </row>
    <row r="30" spans="2:17" ht="37.5">
      <c r="B30" s="162" t="s">
        <v>278</v>
      </c>
      <c r="C30" s="295" t="s">
        <v>155</v>
      </c>
      <c r="D30" s="296"/>
      <c r="E30" s="163">
        <v>10</v>
      </c>
      <c r="F30" s="164" t="s">
        <v>222</v>
      </c>
      <c r="G30" s="298" t="s">
        <v>46</v>
      </c>
      <c r="H30" s="298"/>
      <c r="I30" s="165"/>
      <c r="J30" s="165"/>
      <c r="K30" s="165"/>
      <c r="L30" s="166"/>
      <c r="M30" s="166"/>
      <c r="N30" s="165"/>
      <c r="O30" s="166"/>
      <c r="P30" s="166"/>
      <c r="Q30" s="167"/>
    </row>
    <row r="31" spans="2:19" ht="50.25" customHeight="1" thickBot="1">
      <c r="B31" s="221" t="s">
        <v>233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  <c r="S31" s="5" t="s">
        <v>227</v>
      </c>
    </row>
    <row r="32" spans="6:17" ht="16.5" thickBot="1">
      <c r="F32" s="31"/>
      <c r="G32" s="31"/>
      <c r="N32" s="2"/>
      <c r="P32" s="1"/>
      <c r="Q32" s="1"/>
    </row>
    <row r="33" spans="2:34" s="7" customFormat="1" ht="4.5" customHeight="1">
      <c r="B33" s="85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</row>
    <row r="34" spans="2:34" s="7" customFormat="1" ht="18.75" customHeight="1">
      <c r="B34" s="239" t="s">
        <v>176</v>
      </c>
      <c r="C34" s="95"/>
      <c r="D34" s="87" t="s">
        <v>198</v>
      </c>
      <c r="E34" s="236" t="s">
        <v>217</v>
      </c>
      <c r="F34" s="292"/>
      <c r="G34" s="87"/>
      <c r="H34" s="236" t="s">
        <v>219</v>
      </c>
      <c r="I34" s="292"/>
      <c r="J34" s="87" t="s">
        <v>198</v>
      </c>
      <c r="K34" s="236" t="s">
        <v>270</v>
      </c>
      <c r="L34" s="292"/>
      <c r="M34" s="87"/>
      <c r="N34" s="236" t="s">
        <v>220</v>
      </c>
      <c r="O34" s="237"/>
      <c r="Q34" s="82"/>
      <c r="S34" s="138"/>
      <c r="T34" s="238" t="s">
        <v>177</v>
      </c>
      <c r="U34" s="2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2:34" s="7" customFormat="1" ht="4.5" customHeight="1">
      <c r="B35" s="239"/>
      <c r="C35" s="95"/>
      <c r="Q35" s="82"/>
      <c r="S35" s="138"/>
      <c r="T35" s="238"/>
      <c r="U35" s="2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2:34" s="7" customFormat="1" ht="18.75" customHeight="1">
      <c r="B36" s="239"/>
      <c r="C36" s="95"/>
      <c r="D36" s="87"/>
      <c r="E36" s="236" t="s">
        <v>216</v>
      </c>
      <c r="F36" s="292"/>
      <c r="G36" s="87"/>
      <c r="H36" s="236" t="s">
        <v>218</v>
      </c>
      <c r="I36" s="237"/>
      <c r="J36" s="87"/>
      <c r="K36" s="92" t="s">
        <v>271</v>
      </c>
      <c r="Q36" s="93"/>
      <c r="R36" s="156"/>
      <c r="S36" s="138"/>
      <c r="T36" s="238"/>
      <c r="U36" s="2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2:34" s="7" customFormat="1" ht="4.5" customHeight="1" thickBot="1">
      <c r="B37" s="86"/>
      <c r="C37" s="96"/>
      <c r="D37" s="88"/>
      <c r="E37" s="80"/>
      <c r="F37" s="81"/>
      <c r="G37" s="88"/>
      <c r="H37" s="80"/>
      <c r="I37" s="81"/>
      <c r="J37" s="88"/>
      <c r="K37" s="80"/>
      <c r="L37" s="80"/>
      <c r="M37" s="80"/>
      <c r="N37" s="81"/>
      <c r="O37" s="81"/>
      <c r="P37" s="81"/>
      <c r="Q37" s="83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14:17" ht="16.5" thickBot="1">
      <c r="N38" s="2"/>
      <c r="P38" s="1"/>
      <c r="Q38" s="1"/>
    </row>
    <row r="39" spans="2:34" s="7" customFormat="1" ht="18.75">
      <c r="B39" s="106" t="s">
        <v>275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</row>
    <row r="40" spans="2:34" s="7" customFormat="1" ht="15.75">
      <c r="B40" s="29" t="s">
        <v>4</v>
      </c>
      <c r="C40" s="94"/>
      <c r="D40" s="36"/>
      <c r="E40" s="37" t="s">
        <v>5</v>
      </c>
      <c r="F40" s="186" t="s">
        <v>6</v>
      </c>
      <c r="G40" s="187"/>
      <c r="H40" s="37" t="s">
        <v>251</v>
      </c>
      <c r="I40" s="186" t="s">
        <v>7</v>
      </c>
      <c r="J40" s="187"/>
      <c r="K40" s="37" t="s">
        <v>252</v>
      </c>
      <c r="L40" s="186" t="s">
        <v>11</v>
      </c>
      <c r="M40" s="187"/>
      <c r="N40" s="37" t="s">
        <v>8</v>
      </c>
      <c r="O40" s="186" t="s">
        <v>9</v>
      </c>
      <c r="P40" s="187"/>
      <c r="Q40" s="38" t="s">
        <v>10</v>
      </c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</row>
    <row r="41" spans="2:34" s="7" customFormat="1" ht="31.5">
      <c r="B41" s="40" t="s">
        <v>196</v>
      </c>
      <c r="C41" s="225" t="s">
        <v>155</v>
      </c>
      <c r="D41" s="226"/>
      <c r="E41" s="50" t="s">
        <v>13</v>
      </c>
      <c r="F41" s="240" t="s">
        <v>13</v>
      </c>
      <c r="G41" s="241"/>
      <c r="H41" s="50" t="s">
        <v>13</v>
      </c>
      <c r="I41" s="240" t="s">
        <v>13</v>
      </c>
      <c r="J41" s="241"/>
      <c r="K41" s="50" t="s">
        <v>13</v>
      </c>
      <c r="L41" s="240" t="s">
        <v>13</v>
      </c>
      <c r="M41" s="241"/>
      <c r="N41" s="50" t="s">
        <v>13</v>
      </c>
      <c r="O41" s="240" t="s">
        <v>13</v>
      </c>
      <c r="P41" s="241"/>
      <c r="Q41" s="51" t="s">
        <v>13</v>
      </c>
      <c r="R41" s="98" t="str">
        <f>IF(D$34=$T$34,$R$14,"")</f>
        <v>*Required</v>
      </c>
      <c r="S41" s="138"/>
      <c r="T41" s="168" t="s">
        <v>52</v>
      </c>
      <c r="U41" s="168" t="s">
        <v>53</v>
      </c>
      <c r="V41" s="168" t="s">
        <v>54</v>
      </c>
      <c r="W41" s="16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</row>
    <row r="42" spans="2:34" s="7" customFormat="1" ht="15.75" customHeight="1">
      <c r="B42" s="48" t="s">
        <v>223</v>
      </c>
      <c r="C42" s="225" t="s">
        <v>155</v>
      </c>
      <c r="D42" s="226"/>
      <c r="E42" s="52" t="s">
        <v>44</v>
      </c>
      <c r="F42" s="195" t="s">
        <v>44</v>
      </c>
      <c r="G42" s="219"/>
      <c r="H42" s="52" t="s">
        <v>208</v>
      </c>
      <c r="I42" s="195" t="s">
        <v>14</v>
      </c>
      <c r="J42" s="219"/>
      <c r="K42" s="52" t="s">
        <v>14</v>
      </c>
      <c r="L42" s="195" t="s">
        <v>14</v>
      </c>
      <c r="M42" s="219"/>
      <c r="N42" s="52" t="s">
        <v>14</v>
      </c>
      <c r="O42" s="195" t="s">
        <v>14</v>
      </c>
      <c r="P42" s="219"/>
      <c r="Q42" s="53" t="s">
        <v>14</v>
      </c>
      <c r="R42" s="98" t="str">
        <f>IF(D$34=$T$34,$R$14,"")</f>
        <v>*Required</v>
      </c>
      <c r="S42" s="138"/>
      <c r="T42" s="168" t="s">
        <v>58</v>
      </c>
      <c r="U42" s="170" t="s">
        <v>55</v>
      </c>
      <c r="V42" s="170" t="s">
        <v>59</v>
      </c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</row>
    <row r="43" spans="2:34" s="7" customFormat="1" ht="15.75">
      <c r="B43" s="40" t="s">
        <v>261</v>
      </c>
      <c r="C43" s="225" t="s">
        <v>155</v>
      </c>
      <c r="D43" s="226"/>
      <c r="E43" s="46"/>
      <c r="F43" s="197"/>
      <c r="G43" s="198"/>
      <c r="H43" s="46"/>
      <c r="I43" s="197"/>
      <c r="J43" s="198"/>
      <c r="K43" s="46"/>
      <c r="L43" s="197"/>
      <c r="M43" s="198"/>
      <c r="N43" s="46"/>
      <c r="O43" s="197"/>
      <c r="P43" s="198"/>
      <c r="Q43" s="47"/>
      <c r="R43" s="98" t="str">
        <f>IF(D$34=$T$34,$R$14,"")</f>
        <v>*Required</v>
      </c>
      <c r="S43" s="138"/>
      <c r="T43" s="170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</row>
    <row r="44" spans="2:34" s="7" customFormat="1" ht="15.75">
      <c r="B44" s="54" t="s">
        <v>47</v>
      </c>
      <c r="C44" s="190" t="s">
        <v>15</v>
      </c>
      <c r="D44" s="190"/>
      <c r="E44" s="75">
        <f>IF(E43=0,0,IF(E41=$T41,IF(E42=$T42,E43*E110,E43*IF(E42=$V42,$F$47,$N$47)),0))</f>
        <v>0</v>
      </c>
      <c r="F44" s="234">
        <f>IF(F43=0,0,IF(F41=$T41,IF(F42=$T42,F43*F110,F43*IF(F42=$V42,$F$47,$N$47)),0))</f>
        <v>0</v>
      </c>
      <c r="G44" s="235"/>
      <c r="H44" s="75">
        <f>IF(H43=0,0,IF(H41=$T41,IF(H42=$T42,H43*H110,H43*IF(H42=$V42,$F$47,$N$47)),0))</f>
        <v>0</v>
      </c>
      <c r="I44" s="234">
        <f>IF(I43=0,0,IF(I41=$T41,IF(I42=$T42,I43*I110,I43*IF(I42=$V42,$F$47,$N$47)),0))</f>
        <v>0</v>
      </c>
      <c r="J44" s="235"/>
      <c r="K44" s="75">
        <f>IF(K43=0,0,IF(K41=$T41,IF(K42=$T42,K43*K110,K43*IF(K42=$V42,$F$47,$N$47)),0))</f>
        <v>0</v>
      </c>
      <c r="L44" s="234">
        <f>IF(L43=0,0,IF(L41=$T41,IF(L42=$T42,L43*L110,L43*IF(L42=$V42,$F$47,$N$47)),0))</f>
        <v>0</v>
      </c>
      <c r="M44" s="235"/>
      <c r="N44" s="75">
        <f>IF(N43=0,0,IF(N41=$T41,IF(N42=$T42,N43*N110,N43*IF(N42=$V42,$F$47,$N$47)),0))</f>
        <v>0</v>
      </c>
      <c r="O44" s="234">
        <f>IF(O43=0,0,IF(O41=$T41,IF(O42=$T42,O43*O110,O43*IF(O42=$V42,$F$47,$N$47)),0))</f>
        <v>0</v>
      </c>
      <c r="P44" s="235"/>
      <c r="Q44" s="63">
        <f>IF(Q43=0,0,IF(Q41=$T41,IF(Q42=$T42,Q43*Q110,Q43*IF(Q42=$V42,$F$47,$N$47)),0))</f>
        <v>0</v>
      </c>
      <c r="S44" s="168"/>
      <c r="T44" s="170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</row>
    <row r="45" spans="2:34" s="7" customFormat="1" ht="15.75">
      <c r="B45" s="27" t="s">
        <v>56</v>
      </c>
      <c r="C45" s="190" t="s">
        <v>15</v>
      </c>
      <c r="D45" s="190"/>
      <c r="E45" s="89">
        <f>IF(D34=T34,SUM(E44:Q44),0)</f>
        <v>0</v>
      </c>
      <c r="F45" s="191" t="s">
        <v>3</v>
      </c>
      <c r="G45" s="191"/>
      <c r="H45" s="90"/>
      <c r="I45" s="90"/>
      <c r="J45" s="90"/>
      <c r="K45" s="90"/>
      <c r="L45" s="90"/>
      <c r="M45" s="90"/>
      <c r="N45" s="90"/>
      <c r="O45" s="90"/>
      <c r="P45" s="90"/>
      <c r="Q45" s="91"/>
      <c r="S45" s="16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</row>
    <row r="46" spans="2:34" s="7" customFormat="1" ht="15.75">
      <c r="B46" s="227" t="s">
        <v>57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9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</row>
    <row r="47" spans="2:34" s="7" customFormat="1" ht="15.75" customHeight="1" thickBot="1">
      <c r="B47" s="247" t="s">
        <v>224</v>
      </c>
      <c r="C47" s="230"/>
      <c r="D47" s="230"/>
      <c r="E47" s="297"/>
      <c r="F47" s="97">
        <v>2.5</v>
      </c>
      <c r="G47" s="230" t="s">
        <v>200</v>
      </c>
      <c r="H47" s="230"/>
      <c r="I47" s="230"/>
      <c r="J47" s="230"/>
      <c r="K47" s="230"/>
      <c r="L47" s="230"/>
      <c r="M47" s="155"/>
      <c r="N47" s="97">
        <v>7.5</v>
      </c>
      <c r="O47" s="150" t="s">
        <v>199</v>
      </c>
      <c r="P47" s="150"/>
      <c r="Q47" s="151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</row>
    <row r="48" spans="2:19" ht="19.5" thickBot="1">
      <c r="B48" s="224"/>
      <c r="C48" s="224"/>
      <c r="D48" s="224"/>
      <c r="E48" s="224"/>
      <c r="F48" s="31"/>
      <c r="G48" s="31"/>
      <c r="N48" s="2"/>
      <c r="P48" s="1"/>
      <c r="Q48" s="1"/>
      <c r="S48" s="168"/>
    </row>
    <row r="49" spans="2:34" s="7" customFormat="1" ht="18.75">
      <c r="B49" s="231" t="s">
        <v>272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3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</row>
    <row r="50" spans="2:34" s="7" customFormat="1" ht="15.75">
      <c r="B50" s="29" t="s">
        <v>4</v>
      </c>
      <c r="C50" s="94"/>
      <c r="D50" s="36"/>
      <c r="E50" s="37" t="s">
        <v>5</v>
      </c>
      <c r="F50" s="186" t="s">
        <v>6</v>
      </c>
      <c r="G50" s="187"/>
      <c r="H50" s="37" t="s">
        <v>251</v>
      </c>
      <c r="I50" s="186" t="s">
        <v>7</v>
      </c>
      <c r="J50" s="187"/>
      <c r="K50" s="37" t="s">
        <v>252</v>
      </c>
      <c r="L50" s="186" t="s">
        <v>11</v>
      </c>
      <c r="M50" s="187"/>
      <c r="N50" s="37" t="s">
        <v>8</v>
      </c>
      <c r="O50" s="186" t="s">
        <v>9</v>
      </c>
      <c r="P50" s="187"/>
      <c r="Q50" s="38" t="s">
        <v>10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</row>
    <row r="51" spans="2:34" s="7" customFormat="1" ht="15.75">
      <c r="B51" s="40" t="s">
        <v>262</v>
      </c>
      <c r="C51" s="225" t="s">
        <v>155</v>
      </c>
      <c r="D51" s="226"/>
      <c r="E51" s="46"/>
      <c r="F51" s="197"/>
      <c r="G51" s="198"/>
      <c r="H51" s="46"/>
      <c r="I51" s="197"/>
      <c r="J51" s="198"/>
      <c r="K51" s="46"/>
      <c r="L51" s="197"/>
      <c r="M51" s="198"/>
      <c r="N51" s="46"/>
      <c r="O51" s="197"/>
      <c r="P51" s="198"/>
      <c r="Q51" s="47"/>
      <c r="R51" s="98">
        <f>IF(G$34=$T$34,$R$14,"")</f>
      </c>
      <c r="S51" s="138"/>
      <c r="T51" s="170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</row>
    <row r="52" spans="2:34" s="7" customFormat="1" ht="15.75">
      <c r="B52" s="54" t="s">
        <v>203</v>
      </c>
      <c r="C52" s="190" t="s">
        <v>15</v>
      </c>
      <c r="D52" s="190"/>
      <c r="E52" s="154">
        <f>E51*E110</f>
        <v>0</v>
      </c>
      <c r="F52" s="188">
        <f>F51*F110</f>
        <v>0</v>
      </c>
      <c r="G52" s="189"/>
      <c r="H52" s="154">
        <f>H51*H110</f>
        <v>0</v>
      </c>
      <c r="I52" s="188">
        <f>I51*I110</f>
        <v>0</v>
      </c>
      <c r="J52" s="189"/>
      <c r="K52" s="154">
        <f>K51*K110</f>
        <v>0</v>
      </c>
      <c r="L52" s="188">
        <f>L51*L110</f>
        <v>0</v>
      </c>
      <c r="M52" s="189"/>
      <c r="N52" s="154">
        <f>N51*N110</f>
        <v>0</v>
      </c>
      <c r="O52" s="188">
        <f>O51*O110</f>
        <v>0</v>
      </c>
      <c r="P52" s="189"/>
      <c r="Q52" s="111">
        <f>Q51*Q110</f>
        <v>0</v>
      </c>
      <c r="S52" s="168"/>
      <c r="T52" s="170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</row>
    <row r="53" spans="2:34" s="7" customFormat="1" ht="15.75">
      <c r="B53" s="27" t="s">
        <v>202</v>
      </c>
      <c r="C53" s="190" t="s">
        <v>15</v>
      </c>
      <c r="D53" s="190"/>
      <c r="E53" s="89">
        <f>IF(G34=T34,SUM(E52:Q52),0)</f>
        <v>0</v>
      </c>
      <c r="F53" s="191" t="s">
        <v>3</v>
      </c>
      <c r="G53" s="191"/>
      <c r="H53" s="90"/>
      <c r="I53" s="90"/>
      <c r="J53" s="90"/>
      <c r="K53" s="90"/>
      <c r="L53" s="90"/>
      <c r="M53" s="90"/>
      <c r="N53" s="90"/>
      <c r="O53" s="90"/>
      <c r="P53" s="90"/>
      <c r="Q53" s="91"/>
      <c r="S53" s="16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</row>
    <row r="54" spans="2:34" s="7" customFormat="1" ht="16.5" thickBot="1">
      <c r="B54" s="221" t="s">
        <v>57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3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</row>
    <row r="55" spans="2:19" ht="19.5" thickBot="1">
      <c r="B55" s="224"/>
      <c r="C55" s="224"/>
      <c r="D55" s="224"/>
      <c r="E55" s="224"/>
      <c r="F55" s="31"/>
      <c r="G55" s="31"/>
      <c r="N55" s="2"/>
      <c r="P55" s="1"/>
      <c r="Q55" s="1"/>
      <c r="S55" s="168"/>
    </row>
    <row r="56" spans="2:17" ht="19.5" customHeight="1">
      <c r="B56" s="210" t="s">
        <v>273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  <c r="Q56" s="1"/>
    </row>
    <row r="57" spans="2:34" s="7" customFormat="1" ht="15.75">
      <c r="B57" s="29" t="s">
        <v>4</v>
      </c>
      <c r="C57" s="112"/>
      <c r="D57" s="113"/>
      <c r="E57" s="157" t="s">
        <v>5</v>
      </c>
      <c r="F57" s="186" t="s">
        <v>6</v>
      </c>
      <c r="G57" s="187"/>
      <c r="H57" s="157" t="s">
        <v>251</v>
      </c>
      <c r="I57" s="186" t="s">
        <v>7</v>
      </c>
      <c r="J57" s="187"/>
      <c r="K57" s="157" t="s">
        <v>252</v>
      </c>
      <c r="L57" s="215" t="s">
        <v>11</v>
      </c>
      <c r="M57" s="216"/>
      <c r="N57" s="110" t="s">
        <v>263</v>
      </c>
      <c r="O57" s="217" t="s">
        <v>9</v>
      </c>
      <c r="P57" s="21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</row>
    <row r="58" spans="2:34" s="7" customFormat="1" ht="31.5">
      <c r="B58" s="122" t="s">
        <v>225</v>
      </c>
      <c r="C58" s="225" t="s">
        <v>155</v>
      </c>
      <c r="D58" s="226"/>
      <c r="E58" s="52" t="s">
        <v>44</v>
      </c>
      <c r="F58" s="195" t="s">
        <v>44</v>
      </c>
      <c r="G58" s="219"/>
      <c r="H58" s="52" t="s">
        <v>208</v>
      </c>
      <c r="I58" s="195" t="s">
        <v>14</v>
      </c>
      <c r="J58" s="219"/>
      <c r="K58" s="52" t="s">
        <v>14</v>
      </c>
      <c r="L58" s="195" t="s">
        <v>14</v>
      </c>
      <c r="M58" s="219"/>
      <c r="N58" s="52" t="s">
        <v>14</v>
      </c>
      <c r="O58" s="195" t="s">
        <v>208</v>
      </c>
      <c r="P58" s="196"/>
      <c r="Q58" s="98" t="str">
        <f>IF(J$34=$T$34,$R$14,"")</f>
        <v>*Required</v>
      </c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</row>
    <row r="59" spans="2:34" s="7" customFormat="1" ht="17.25" customHeight="1">
      <c r="B59" s="40" t="s">
        <v>264</v>
      </c>
      <c r="C59" s="225" t="s">
        <v>155</v>
      </c>
      <c r="D59" s="226"/>
      <c r="E59" s="52"/>
      <c r="F59" s="195"/>
      <c r="G59" s="219"/>
      <c r="H59" s="52"/>
      <c r="I59" s="195"/>
      <c r="J59" s="219"/>
      <c r="K59" s="52">
        <v>6</v>
      </c>
      <c r="L59" s="195"/>
      <c r="M59" s="219"/>
      <c r="N59" s="149"/>
      <c r="O59" s="220"/>
      <c r="P59" s="196"/>
      <c r="Q59" s="98" t="str">
        <f>IF(J$34=$T$34,$R$14,"")</f>
        <v>*Required</v>
      </c>
      <c r="S59" s="138"/>
      <c r="T59" s="138">
        <f>SUM(E59:N59)</f>
        <v>6</v>
      </c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</row>
    <row r="60" spans="2:34" s="7" customFormat="1" ht="15.75" hidden="1">
      <c r="B60" s="121" t="s">
        <v>201</v>
      </c>
      <c r="C60" s="190" t="s">
        <v>15</v>
      </c>
      <c r="D60" s="190"/>
      <c r="E60" s="158">
        <f>E59*E111</f>
        <v>0</v>
      </c>
      <c r="F60" s="213">
        <f>F59*F111</f>
        <v>0</v>
      </c>
      <c r="G60" s="214"/>
      <c r="H60" s="158">
        <f>H59*H111</f>
        <v>0</v>
      </c>
      <c r="I60" s="213">
        <f>I59*I111</f>
        <v>0</v>
      </c>
      <c r="J60" s="214"/>
      <c r="K60" s="158">
        <f>K59*K111</f>
        <v>370.80890630784006</v>
      </c>
      <c r="L60" s="213">
        <f>L59*L111</f>
        <v>0</v>
      </c>
      <c r="M60" s="214"/>
      <c r="N60" s="158">
        <f>N59*N111</f>
        <v>0</v>
      </c>
      <c r="O60" s="201">
        <f>O59*O111</f>
        <v>0</v>
      </c>
      <c r="P60" s="202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</row>
    <row r="61" spans="2:34" s="7" customFormat="1" ht="15.75" hidden="1">
      <c r="B61" s="117" t="s">
        <v>265</v>
      </c>
      <c r="C61" s="294" t="s">
        <v>15</v>
      </c>
      <c r="D61" s="294"/>
      <c r="E61" s="120">
        <f>IF(J34=T34,SUM(E60:O60),0)</f>
        <v>370.80890630784006</v>
      </c>
      <c r="F61" s="290"/>
      <c r="G61" s="291"/>
      <c r="H61" s="118"/>
      <c r="I61" s="118"/>
      <c r="J61" s="118"/>
      <c r="K61" s="119"/>
      <c r="L61" s="203"/>
      <c r="M61" s="203"/>
      <c r="N61" s="119"/>
      <c r="O61" s="90"/>
      <c r="P61" s="91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</row>
    <row r="62" spans="2:17" ht="15.75">
      <c r="B62" s="204" t="s">
        <v>266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6"/>
      <c r="Q62" s="1"/>
    </row>
    <row r="63" spans="2:17" ht="33" customHeight="1" thickBot="1">
      <c r="B63" s="207" t="s">
        <v>289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9"/>
      <c r="Q63" s="1"/>
    </row>
    <row r="64" spans="2:17" ht="16.5" thickBot="1">
      <c r="B64" s="99"/>
      <c r="C64" s="3"/>
      <c r="D64" s="3"/>
      <c r="E64" s="3"/>
      <c r="F64" s="100"/>
      <c r="G64" s="100"/>
      <c r="H64" s="3"/>
      <c r="I64" s="3"/>
      <c r="J64" s="3"/>
      <c r="K64" s="3"/>
      <c r="L64" s="3"/>
      <c r="M64" s="3"/>
      <c r="N64" s="101"/>
      <c r="P64" s="1"/>
      <c r="Q64" s="1"/>
    </row>
    <row r="65" spans="2:17" ht="19.5" customHeight="1">
      <c r="B65" s="210" t="s">
        <v>274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2"/>
      <c r="P65" s="1"/>
      <c r="Q65" s="1"/>
    </row>
    <row r="66" spans="2:34" s="7" customFormat="1" ht="15.75">
      <c r="B66" s="29" t="s">
        <v>4</v>
      </c>
      <c r="C66" s="94"/>
      <c r="D66" s="36"/>
      <c r="E66" s="37" t="s">
        <v>5</v>
      </c>
      <c r="F66" s="186" t="s">
        <v>6</v>
      </c>
      <c r="G66" s="187"/>
      <c r="H66" s="37" t="s">
        <v>251</v>
      </c>
      <c r="I66" s="186" t="s">
        <v>7</v>
      </c>
      <c r="J66" s="187"/>
      <c r="K66" s="37" t="s">
        <v>252</v>
      </c>
      <c r="L66" s="215" t="s">
        <v>11</v>
      </c>
      <c r="M66" s="216"/>
      <c r="N66" s="55" t="s">
        <v>263</v>
      </c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</row>
    <row r="67" spans="2:34" s="7" customFormat="1" ht="16.5" thickBot="1">
      <c r="B67" s="141" t="s">
        <v>262</v>
      </c>
      <c r="C67" s="265" t="s">
        <v>155</v>
      </c>
      <c r="D67" s="266"/>
      <c r="E67" s="142"/>
      <c r="F67" s="306"/>
      <c r="G67" s="307"/>
      <c r="H67" s="142"/>
      <c r="I67" s="306"/>
      <c r="J67" s="307"/>
      <c r="K67" s="142"/>
      <c r="L67" s="306"/>
      <c r="M67" s="307"/>
      <c r="N67" s="143"/>
      <c r="O67" s="98">
        <f>IF(M$34=$T$34,$R$14,"")</f>
      </c>
      <c r="S67" s="138"/>
      <c r="T67" s="138" t="s">
        <v>180</v>
      </c>
      <c r="U67" s="138" t="s">
        <v>181</v>
      </c>
      <c r="V67" s="138" t="s">
        <v>182</v>
      </c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</row>
    <row r="68" spans="2:34" s="7" customFormat="1" ht="15.75" hidden="1">
      <c r="B68" s="116" t="s">
        <v>201</v>
      </c>
      <c r="C68" s="194" t="s">
        <v>15</v>
      </c>
      <c r="D68" s="194"/>
      <c r="E68" s="39">
        <f>IF($M$34=$U$34,0,E67*E$113)</f>
        <v>0</v>
      </c>
      <c r="F68" s="192">
        <f>IF($M$34=$U$34,0,F67*F$113)</f>
        <v>0</v>
      </c>
      <c r="G68" s="193"/>
      <c r="H68" s="39">
        <f>IF($M$34=$U$34,0,H67*H$113)</f>
        <v>0</v>
      </c>
      <c r="I68" s="192">
        <f>IF($M$34=$U$34,0,I67*I$113)</f>
        <v>0</v>
      </c>
      <c r="J68" s="193"/>
      <c r="K68" s="39">
        <f>IF($M$34=$U$34,0,K67*K$113)</f>
        <v>0</v>
      </c>
      <c r="L68" s="192">
        <f>IF($M$34=$U$34,0,L67*L$113)</f>
        <v>0</v>
      </c>
      <c r="M68" s="193"/>
      <c r="N68" s="140">
        <f>IF($M$34=$U$34,0,N67*N$113)</f>
        <v>0</v>
      </c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</row>
    <row r="69" spans="2:34" s="7" customFormat="1" ht="16.5" hidden="1" thickBot="1">
      <c r="B69" s="144" t="s">
        <v>265</v>
      </c>
      <c r="C69" s="303" t="s">
        <v>15</v>
      </c>
      <c r="D69" s="303"/>
      <c r="E69" s="145">
        <f>IF(M34=T34,SUM(E68:N68),0)</f>
        <v>0</v>
      </c>
      <c r="F69" s="304"/>
      <c r="G69" s="305"/>
      <c r="H69" s="146"/>
      <c r="I69" s="146"/>
      <c r="J69" s="146"/>
      <c r="K69" s="147"/>
      <c r="L69" s="308"/>
      <c r="M69" s="308"/>
      <c r="N69" s="14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</row>
    <row r="70" spans="2:17" ht="16.5" thickBot="1">
      <c r="B70" s="73"/>
      <c r="C70" s="73"/>
      <c r="D70" s="73"/>
      <c r="E70" s="73"/>
      <c r="F70" s="31"/>
      <c r="G70" s="31"/>
      <c r="N70" s="2"/>
      <c r="P70" s="1"/>
      <c r="Q70" s="1"/>
    </row>
    <row r="71" spans="2:34" s="7" customFormat="1" ht="18.75">
      <c r="B71" s="231" t="s">
        <v>287</v>
      </c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6"/>
      <c r="Q71" s="1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</row>
    <row r="72" spans="2:34" s="7" customFormat="1" ht="15.75">
      <c r="B72" s="29" t="s">
        <v>4</v>
      </c>
      <c r="C72" s="94"/>
      <c r="D72" s="36"/>
      <c r="E72" s="37" t="s">
        <v>5</v>
      </c>
      <c r="F72" s="186" t="s">
        <v>6</v>
      </c>
      <c r="G72" s="187"/>
      <c r="H72" s="37" t="s">
        <v>251</v>
      </c>
      <c r="I72" s="186" t="s">
        <v>7</v>
      </c>
      <c r="J72" s="187"/>
      <c r="K72" s="37" t="s">
        <v>252</v>
      </c>
      <c r="L72" s="186" t="s">
        <v>11</v>
      </c>
      <c r="M72" s="187"/>
      <c r="N72" s="37" t="s">
        <v>8</v>
      </c>
      <c r="O72" s="186" t="s">
        <v>9</v>
      </c>
      <c r="P72" s="287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</row>
    <row r="73" spans="2:34" s="7" customFormat="1" ht="31.5" customHeight="1">
      <c r="B73" s="109" t="s">
        <v>226</v>
      </c>
      <c r="C73" s="225" t="s">
        <v>155</v>
      </c>
      <c r="D73" s="226"/>
      <c r="E73" s="52" t="s">
        <v>44</v>
      </c>
      <c r="F73" s="195" t="s">
        <v>44</v>
      </c>
      <c r="G73" s="219"/>
      <c r="H73" s="52" t="s">
        <v>208</v>
      </c>
      <c r="I73" s="195" t="s">
        <v>14</v>
      </c>
      <c r="J73" s="219"/>
      <c r="K73" s="52" t="s">
        <v>14</v>
      </c>
      <c r="L73" s="195" t="s">
        <v>14</v>
      </c>
      <c r="M73" s="219"/>
      <c r="N73" s="52" t="s">
        <v>14</v>
      </c>
      <c r="O73" s="195" t="s">
        <v>208</v>
      </c>
      <c r="P73" s="196"/>
      <c r="Q73" s="98">
        <f>IF(D$36=$T$34,$R$14,"")</f>
      </c>
      <c r="R73" s="98"/>
      <c r="S73" s="138"/>
      <c r="T73" s="168" t="s">
        <v>58</v>
      </c>
      <c r="U73" s="170" t="s">
        <v>55</v>
      </c>
      <c r="V73" s="170" t="s">
        <v>59</v>
      </c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</row>
    <row r="74" spans="2:34" s="7" customFormat="1" ht="15.75">
      <c r="B74" s="40" t="s">
        <v>267</v>
      </c>
      <c r="C74" s="225" t="s">
        <v>155</v>
      </c>
      <c r="D74" s="226"/>
      <c r="E74" s="46"/>
      <c r="F74" s="197"/>
      <c r="G74" s="198"/>
      <c r="H74" s="46"/>
      <c r="I74" s="197"/>
      <c r="J74" s="198"/>
      <c r="K74" s="46"/>
      <c r="L74" s="197"/>
      <c r="M74" s="198"/>
      <c r="N74" s="46"/>
      <c r="O74" s="197"/>
      <c r="P74" s="199"/>
      <c r="Q74" s="98">
        <f>IF(D$36=$T$34,$R$14,"")</f>
      </c>
      <c r="R74" s="98"/>
      <c r="S74" s="138"/>
      <c r="T74" s="170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</row>
    <row r="75" spans="2:34" s="7" customFormat="1" ht="15.75">
      <c r="B75" s="54" t="s">
        <v>47</v>
      </c>
      <c r="C75" s="190" t="s">
        <v>15</v>
      </c>
      <c r="D75" s="190"/>
      <c r="E75" s="64">
        <f>E74*IF(E73=$T73,E110,IF(E73=$V73,$F$78,$N$78))</f>
        <v>0</v>
      </c>
      <c r="F75" s="188">
        <f>F74*IF(F73=$T73,F110,IF(F73=$V73,$F$78,$N$78))</f>
        <v>0</v>
      </c>
      <c r="G75" s="189"/>
      <c r="H75" s="64">
        <f>H74*IF(H73=$T73,H110,IF(H73=$V73,$F$78,$N$78))</f>
        <v>0</v>
      </c>
      <c r="I75" s="188">
        <f>I74*IF(I73=$T73,I110,IF(I73=$V73,$F$78,$N$78))</f>
        <v>0</v>
      </c>
      <c r="J75" s="189"/>
      <c r="K75" s="64">
        <f>K74*IF(K73=$T73,K110,IF(K73=$V73,$F$78,$N$78))</f>
        <v>0</v>
      </c>
      <c r="L75" s="188">
        <f>L74*IF(L73=$T73,L110,IF(L73=$V73,$F$78,$N$78))</f>
        <v>0</v>
      </c>
      <c r="M75" s="189"/>
      <c r="N75" s="64">
        <f>N74*IF(N73=$T73,N110,IF(N73=$V73,$F$78,$N$78))</f>
        <v>0</v>
      </c>
      <c r="O75" s="188">
        <f>O74*IF(O73=$T73,O110,IF(O73=$V73,$F$78,$N$78))</f>
        <v>0</v>
      </c>
      <c r="P75" s="189"/>
      <c r="S75" s="168"/>
      <c r="T75" s="170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</row>
    <row r="76" spans="2:34" s="7" customFormat="1" ht="15.75">
      <c r="B76" s="27" t="s">
        <v>56</v>
      </c>
      <c r="C76" s="190" t="s">
        <v>15</v>
      </c>
      <c r="D76" s="190"/>
      <c r="E76" s="89">
        <f>IF(D36=T34,SUM(E75:O75),0)</f>
        <v>0</v>
      </c>
      <c r="F76" s="191" t="s">
        <v>3</v>
      </c>
      <c r="G76" s="191"/>
      <c r="H76" s="90"/>
      <c r="I76" s="90"/>
      <c r="J76" s="90"/>
      <c r="K76" s="90"/>
      <c r="L76" s="90"/>
      <c r="M76" s="90"/>
      <c r="N76" s="90"/>
      <c r="O76" s="90"/>
      <c r="P76" s="91"/>
      <c r="S76" s="16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</row>
    <row r="77" spans="2:34" s="7" customFormat="1" ht="33.75" customHeight="1">
      <c r="B77" s="244" t="s">
        <v>57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6"/>
      <c r="Q77" s="1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</row>
    <row r="78" spans="2:34" s="7" customFormat="1" ht="15.75" customHeight="1" thickBot="1">
      <c r="B78" s="247" t="s">
        <v>224</v>
      </c>
      <c r="C78" s="230"/>
      <c r="D78" s="230"/>
      <c r="E78" s="297"/>
      <c r="F78" s="159">
        <f>F47</f>
        <v>2.5</v>
      </c>
      <c r="G78" s="230" t="s">
        <v>200</v>
      </c>
      <c r="H78" s="230"/>
      <c r="I78" s="230"/>
      <c r="J78" s="230"/>
      <c r="K78" s="230"/>
      <c r="L78" s="230"/>
      <c r="M78" s="155"/>
      <c r="N78" s="159">
        <f>N47</f>
        <v>7.5</v>
      </c>
      <c r="O78" s="150" t="s">
        <v>199</v>
      </c>
      <c r="P78" s="151"/>
      <c r="Q78" s="1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</row>
    <row r="79" spans="2:19" ht="19.5" thickBot="1">
      <c r="B79" s="185"/>
      <c r="C79" s="185"/>
      <c r="D79" s="185"/>
      <c r="E79" s="185"/>
      <c r="F79" s="31"/>
      <c r="G79" s="31"/>
      <c r="N79" s="2"/>
      <c r="P79" s="1"/>
      <c r="Q79" s="1"/>
      <c r="S79" s="168"/>
    </row>
    <row r="80" spans="2:34" s="7" customFormat="1" ht="18.75">
      <c r="B80" s="231" t="s">
        <v>286</v>
      </c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6"/>
      <c r="O80" s="1"/>
      <c r="P80" s="1"/>
      <c r="Q80" s="1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</row>
    <row r="81" spans="2:34" s="7" customFormat="1" ht="15.75">
      <c r="B81" s="29" t="s">
        <v>4</v>
      </c>
      <c r="C81" s="94"/>
      <c r="D81" s="36"/>
      <c r="E81" s="37" t="s">
        <v>5</v>
      </c>
      <c r="F81" s="186" t="s">
        <v>6</v>
      </c>
      <c r="G81" s="187"/>
      <c r="H81" s="37" t="s">
        <v>251</v>
      </c>
      <c r="I81" s="186" t="s">
        <v>7</v>
      </c>
      <c r="J81" s="187"/>
      <c r="K81" s="37" t="s">
        <v>252</v>
      </c>
      <c r="L81" s="186" t="s">
        <v>11</v>
      </c>
      <c r="M81" s="187"/>
      <c r="N81" s="38" t="s">
        <v>8</v>
      </c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</row>
    <row r="82" spans="2:34" s="7" customFormat="1" ht="15.75">
      <c r="B82" s="40" t="s">
        <v>262</v>
      </c>
      <c r="C82" s="225" t="s">
        <v>155</v>
      </c>
      <c r="D82" s="226"/>
      <c r="E82" s="46"/>
      <c r="F82" s="197"/>
      <c r="G82" s="198"/>
      <c r="H82" s="46"/>
      <c r="I82" s="197"/>
      <c r="J82" s="198"/>
      <c r="K82" s="46"/>
      <c r="L82" s="197"/>
      <c r="M82" s="198"/>
      <c r="N82" s="47"/>
      <c r="O82" s="98">
        <f>IF(G$36=$T$34,$R$14,"")</f>
      </c>
      <c r="Q82" s="1"/>
      <c r="S82" s="138"/>
      <c r="T82" s="138" t="s">
        <v>180</v>
      </c>
      <c r="U82" s="138" t="s">
        <v>181</v>
      </c>
      <c r="V82" s="138" t="s">
        <v>182</v>
      </c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</row>
    <row r="83" spans="2:34" s="7" customFormat="1" ht="16.5" customHeight="1">
      <c r="B83" s="54" t="s">
        <v>203</v>
      </c>
      <c r="C83" s="190" t="s">
        <v>15</v>
      </c>
      <c r="D83" s="190"/>
      <c r="E83" s="128">
        <f>E82*E$111</f>
        <v>0</v>
      </c>
      <c r="F83" s="200">
        <f>F82*F$111</f>
        <v>0</v>
      </c>
      <c r="G83" s="200"/>
      <c r="H83" s="128">
        <f>H82*H$111</f>
        <v>0</v>
      </c>
      <c r="I83" s="200">
        <f>I82*I$111</f>
        <v>0</v>
      </c>
      <c r="J83" s="200"/>
      <c r="K83" s="128">
        <f>K82*K$111</f>
        <v>0</v>
      </c>
      <c r="L83" s="200">
        <f>L82*L$111</f>
        <v>0</v>
      </c>
      <c r="M83" s="200"/>
      <c r="N83" s="129">
        <f>N82*N$111</f>
        <v>0</v>
      </c>
      <c r="S83" s="168"/>
      <c r="T83" s="170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</row>
    <row r="84" spans="2:34" s="7" customFormat="1" ht="15.75">
      <c r="B84" s="27" t="s">
        <v>202</v>
      </c>
      <c r="C84" s="190" t="s">
        <v>15</v>
      </c>
      <c r="D84" s="190"/>
      <c r="E84" s="89">
        <f>IF(G36=T34,SUM(E83:N83),0)</f>
        <v>0</v>
      </c>
      <c r="F84" s="191" t="s">
        <v>3</v>
      </c>
      <c r="G84" s="191"/>
      <c r="H84" s="90"/>
      <c r="I84" s="90"/>
      <c r="J84" s="90"/>
      <c r="K84" s="90"/>
      <c r="L84" s="90"/>
      <c r="M84" s="90"/>
      <c r="N84" s="91"/>
      <c r="S84" s="16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</row>
    <row r="85" spans="2:34" s="7" customFormat="1" ht="33.75" customHeight="1" thickBot="1">
      <c r="B85" s="221" t="s">
        <v>57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1"/>
      <c r="P85" s="1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</row>
    <row r="86" spans="2:19" ht="18.75">
      <c r="B86" s="224"/>
      <c r="C86" s="224"/>
      <c r="D86" s="224"/>
      <c r="E86" s="224"/>
      <c r="F86" s="31"/>
      <c r="G86" s="31"/>
      <c r="N86" s="2"/>
      <c r="P86" s="1"/>
      <c r="Q86" s="1"/>
      <c r="S86" s="168"/>
    </row>
    <row r="87" spans="2:17" ht="18.75" customHeight="1">
      <c r="B87" s="289" t="s">
        <v>207</v>
      </c>
      <c r="C87" s="289"/>
      <c r="D87" s="289"/>
      <c r="E87" s="289"/>
      <c r="F87" s="289"/>
      <c r="G87" s="289"/>
      <c r="H87" s="289"/>
      <c r="N87" s="2"/>
      <c r="P87" s="1"/>
      <c r="Q87" s="1"/>
    </row>
    <row r="88" spans="2:17" ht="16.5" thickBot="1">
      <c r="B88" s="73"/>
      <c r="C88" s="73"/>
      <c r="D88" s="73"/>
      <c r="E88" s="73"/>
      <c r="F88" s="31"/>
      <c r="G88" s="31"/>
      <c r="N88" s="2"/>
      <c r="P88" s="1"/>
      <c r="Q88" s="1"/>
    </row>
    <row r="89" spans="2:17" ht="18.75" customHeight="1">
      <c r="B89" s="300" t="s">
        <v>279</v>
      </c>
      <c r="C89" s="301"/>
      <c r="D89" s="301"/>
      <c r="E89" s="301"/>
      <c r="F89" s="301"/>
      <c r="G89" s="301"/>
      <c r="H89" s="302"/>
      <c r="N89" s="2"/>
      <c r="P89" s="1"/>
      <c r="Q89" s="1"/>
    </row>
    <row r="90" spans="2:20" ht="18.75" customHeight="1">
      <c r="B90" s="125" t="s">
        <v>268</v>
      </c>
      <c r="C90" s="299" t="s">
        <v>15</v>
      </c>
      <c r="D90" s="299"/>
      <c r="E90" s="283" t="str">
        <f>_xlfn.IFERROR(IF(E115+F115+K115=0,"VS-6120 Pro+",R143),T90)</f>
        <v>VS-6120 Pro+</v>
      </c>
      <c r="F90" s="283"/>
      <c r="G90" s="283"/>
      <c r="H90" s="139" t="str">
        <f>_xlfn.IFERROR(IF(VLOOKUP(E90,B$116:D$142,3,FALSE)&gt;3,X91,IF(VLOOKUP(E90,B$116:D$142,3,FALSE)=2,W91,T91)),"")</f>
        <v>RAID 5</v>
      </c>
      <c r="N90" s="2"/>
      <c r="P90" s="1"/>
      <c r="Q90" s="1"/>
      <c r="T90" s="5" t="s">
        <v>213</v>
      </c>
    </row>
    <row r="91" spans="2:25" ht="31.5">
      <c r="B91" s="126" t="s">
        <v>209</v>
      </c>
      <c r="C91" s="299" t="s">
        <v>15</v>
      </c>
      <c r="D91" s="299"/>
      <c r="E91" s="281">
        <f>IF(E90=T90,T90,IF(E115+F115+K115=0,$H$112,VLOOKUP(E90,B116:O142,14,FALSE)))</f>
        <v>0.5307147685042635</v>
      </c>
      <c r="F91" s="281"/>
      <c r="G91" s="281"/>
      <c r="H91" s="136"/>
      <c r="N91" s="2"/>
      <c r="P91" s="1"/>
      <c r="Q91" s="1"/>
      <c r="T91" s="5" t="s">
        <v>227</v>
      </c>
      <c r="U91" s="5" t="str">
        <f>IF(VLOOKUP($E95,$B116:$D142,3,FALSE)=1,$T$95,"JBOD/Linear")</f>
        <v>JBOD/Linear</v>
      </c>
      <c r="V91" s="5" t="str">
        <f>IF(VLOOKUP($E95,$B116:$D142,3,FALSE)=1,$T$95,"RAID 0")</f>
        <v>RAID 0</v>
      </c>
      <c r="W91" s="5" t="str">
        <f>IF(VLOOKUP($E95,$B116:$D142,3,FALSE)&gt;2,"RAID 1",$T$95)</f>
        <v>RAID 1</v>
      </c>
      <c r="X91" s="5" t="str">
        <f>IF(VLOOKUP($E95,$B116:$D142,3,FALSE)&gt;3,"RAID 5",$T$95)</f>
        <v>RAID 5</v>
      </c>
      <c r="Y91" s="5" t="str">
        <f>IF(VLOOKUP($E95,$B116:$D142,3,FALSE)&gt;4,"RAID 6",$T$95)</f>
        <v>RAID 6</v>
      </c>
    </row>
    <row r="92" spans="2:26" ht="17.25" customHeight="1" thickBot="1">
      <c r="B92" s="127" t="s">
        <v>210</v>
      </c>
      <c r="C92" s="314" t="s">
        <v>15</v>
      </c>
      <c r="D92" s="314"/>
      <c r="E92" s="282">
        <f>_xlfn.IFERROR(IF(E90=T90,T90,IF(E115=0,0,IF(F24="GB",E30*1000/E24,E30/E24))),"day(s)")</f>
        <v>7.491130149586289</v>
      </c>
      <c r="F92" s="282"/>
      <c r="G92" s="282"/>
      <c r="H92" s="135" t="str">
        <f>IF(E92=T90,"","day(s)")</f>
        <v>day(s)</v>
      </c>
      <c r="N92" s="2"/>
      <c r="P92" s="1"/>
      <c r="Q92" s="1"/>
      <c r="T92" s="5">
        <f>IF($H$95=T$91,IF($E$30&gt;VLOOKUP($E$95,$B$116:$T$142,19,FALSE),0,$E$30),0)</f>
        <v>0</v>
      </c>
      <c r="U92" s="5">
        <f>IF($H$95=U$91,IF($E$30&gt;VLOOKUP($E$95,$B$116:$T$142,19,FALSE)*VLOOKUP($E$95,$B$116:$D$142,3,FALSE),0,$E$30),0)</f>
        <v>0</v>
      </c>
      <c r="V92" s="5">
        <f>IF($H$95=V$91,IF($E$30&gt;VLOOKUP($E$95,$B$116:$T$142,19,FALSE)*VLOOKUP($E$95,$B$116:$D$142,3,FALSE),0,$E$30),0)</f>
        <v>0</v>
      </c>
      <c r="W92" s="5">
        <f>IF($H$95=W$91,IF($E$30&gt;VLOOKUP($E$95,$B$116:$T$142,19,FALSE),0,$E$30),0)</f>
        <v>0</v>
      </c>
      <c r="X92" s="5">
        <f>IF($H$95=X$91,IF($E$30&gt;VLOOKUP($E$95,$B$116:$T$142,19,FALSE)*(VLOOKUP($E$95,$B$116:$D$142,3,FALSE)-1),0,$E$30),0)</f>
        <v>10</v>
      </c>
      <c r="Y92" s="5">
        <f>IF($H$95=Y$91,IF($E$30&gt;VLOOKUP($E$95,$B$116:$T$142,19,FALSE)*(VLOOKUP($E$95,$B$116:$D$142,3,FALSE)-2),0,$E$30),0)</f>
        <v>0</v>
      </c>
      <c r="Z92" s="5">
        <f>SUM(T92:Y92)</f>
        <v>10</v>
      </c>
    </row>
    <row r="93" spans="6:17" ht="16.5" thickBot="1">
      <c r="F93" s="31"/>
      <c r="G93" s="31"/>
      <c r="N93" s="2"/>
      <c r="P93" s="1"/>
      <c r="Q93" s="1"/>
    </row>
    <row r="94" spans="2:17" ht="18.75">
      <c r="B94" s="317" t="s">
        <v>269</v>
      </c>
      <c r="C94" s="318"/>
      <c r="D94" s="318"/>
      <c r="E94" s="318"/>
      <c r="F94" s="318"/>
      <c r="G94" s="318"/>
      <c r="H94" s="319"/>
      <c r="N94" s="2"/>
      <c r="P94" s="1"/>
      <c r="Q94" s="1"/>
    </row>
    <row r="95" spans="2:20" ht="47.25">
      <c r="B95" s="71" t="s">
        <v>228</v>
      </c>
      <c r="C95" s="313" t="s">
        <v>155</v>
      </c>
      <c r="D95" s="313"/>
      <c r="E95" s="284" t="s">
        <v>240</v>
      </c>
      <c r="F95" s="284"/>
      <c r="G95" s="284"/>
      <c r="H95" s="134" t="s">
        <v>285</v>
      </c>
      <c r="I95" s="31" t="s">
        <v>190</v>
      </c>
      <c r="N95" s="2"/>
      <c r="P95" s="1"/>
      <c r="Q95" s="1"/>
      <c r="T95" s="138" t="s">
        <v>230</v>
      </c>
    </row>
    <row r="96" spans="2:17" ht="31.5" customHeight="1">
      <c r="B96" s="26" t="s">
        <v>211</v>
      </c>
      <c r="C96" s="311" t="s">
        <v>15</v>
      </c>
      <c r="D96" s="311"/>
      <c r="E96" s="324">
        <f>IF(K96&gt;1,T99,K96)</f>
        <v>0.4120098958976001</v>
      </c>
      <c r="F96" s="267" t="s">
        <v>519</v>
      </c>
      <c r="G96" s="267"/>
      <c r="H96" s="268"/>
      <c r="K96" s="115">
        <f>IF(E115+F115+L115=0,0,VLOOKUP(E95,B116:L142,11,FALSE))</f>
        <v>0.4120098958976001</v>
      </c>
      <c r="N96" s="2"/>
      <c r="P96" s="1"/>
      <c r="Q96" s="1"/>
    </row>
    <row r="97" spans="2:20" ht="30.75" customHeight="1">
      <c r="B97" s="32" t="s">
        <v>212</v>
      </c>
      <c r="C97" s="311" t="s">
        <v>15</v>
      </c>
      <c r="D97" s="311"/>
      <c r="E97" s="324">
        <f>IF(E96=T99,T99,IF(H115="No",T97,IF(B115=0,0,VLOOKUP(E95,B119:M142,12,FALSE))))</f>
        <v>0.11870487260666339</v>
      </c>
      <c r="F97" s="267" t="s">
        <v>519</v>
      </c>
      <c r="G97" s="267"/>
      <c r="H97" s="268"/>
      <c r="K97" s="5"/>
      <c r="N97" s="2"/>
      <c r="P97" s="1"/>
      <c r="Q97" s="1"/>
      <c r="T97" s="138" t="s">
        <v>231</v>
      </c>
    </row>
    <row r="98" spans="2:17" ht="47.25">
      <c r="B98" s="26" t="s">
        <v>191</v>
      </c>
      <c r="C98" s="311" t="s">
        <v>15</v>
      </c>
      <c r="D98" s="311"/>
      <c r="E98" s="325">
        <f>IF(E96=T99,T99,H112)</f>
        <v>0</v>
      </c>
      <c r="F98" s="325"/>
      <c r="G98" s="325"/>
      <c r="H98" s="326"/>
      <c r="K98" s="5"/>
      <c r="N98" s="2"/>
      <c r="P98" s="1"/>
      <c r="Q98" s="1"/>
    </row>
    <row r="99" spans="2:20" ht="31.5">
      <c r="B99" s="171" t="s">
        <v>283</v>
      </c>
      <c r="C99" s="315" t="s">
        <v>15</v>
      </c>
      <c r="D99" s="315"/>
      <c r="E99" s="309">
        <f>_xlfn.IFERROR(IF(E96=T99,NA,IF(E115+F115+L115=0,0,K99)),"NA")</f>
        <v>0.5307147685042635</v>
      </c>
      <c r="F99" s="309"/>
      <c r="G99" s="309"/>
      <c r="H99" s="172"/>
      <c r="K99" s="115">
        <f>SUM(E96:H98)</f>
        <v>0.5307147685042635</v>
      </c>
      <c r="N99" s="2"/>
      <c r="P99" s="1"/>
      <c r="Q99" s="1"/>
      <c r="T99" s="138" t="s">
        <v>288</v>
      </c>
    </row>
    <row r="100" spans="2:20" ht="33.75" customHeight="1">
      <c r="B100" s="171" t="s">
        <v>282</v>
      </c>
      <c r="C100" s="315" t="s">
        <v>15</v>
      </c>
      <c r="D100" s="315"/>
      <c r="E100" s="310">
        <f>IF(E24=0,0,IF(H95=T95,T100,IF(Z92=0,"Please change disk configuration or lower total array capacity",IF(F24="GB",Z92*1000/E24,Z92/E24))))</f>
        <v>7.491130149586289</v>
      </c>
      <c r="F100" s="310"/>
      <c r="G100" s="310"/>
      <c r="H100" s="173" t="str">
        <f>IF(E100="Please change disk configuration or lower total array capacity","",IF(E100=T100,"","day(s)"))</f>
        <v>day(s)</v>
      </c>
      <c r="K100" s="5"/>
      <c r="N100" s="2"/>
      <c r="P100" s="1"/>
      <c r="Q100" s="1"/>
      <c r="T100" s="138" t="s">
        <v>229</v>
      </c>
    </row>
    <row r="101" spans="2:21" ht="33.75" customHeight="1" thickBot="1">
      <c r="B101" s="28" t="s">
        <v>284</v>
      </c>
      <c r="C101" s="316" t="s">
        <v>15</v>
      </c>
      <c r="D101" s="316"/>
      <c r="E101" s="312" t="str">
        <f>IF(E99&gt;0.88,"Please refer to Note 1",IF(E115&gt;VLOOKUP(E95,B116:E142,4,FALSE),"Please refer to Note 2.","Yes"))</f>
        <v>Yes</v>
      </c>
      <c r="F101" s="312"/>
      <c r="G101" s="312"/>
      <c r="H101" s="137"/>
      <c r="K101" s="180"/>
      <c r="N101" s="2"/>
      <c r="P101" s="1"/>
      <c r="Q101" s="1"/>
      <c r="T101" s="5" t="s">
        <v>516</v>
      </c>
      <c r="U101" s="5" t="s">
        <v>517</v>
      </c>
    </row>
    <row r="102" spans="6:17" ht="15.75">
      <c r="F102" s="31"/>
      <c r="G102" s="31"/>
      <c r="O102" s="2"/>
      <c r="P102" s="1"/>
      <c r="Q102" s="1"/>
    </row>
    <row r="103" spans="2:7" ht="15.75">
      <c r="B103" s="4">
        <f>IF(E101="Yes","","Note")</f>
      </c>
      <c r="C103" s="4"/>
      <c r="D103" s="4"/>
      <c r="E103" s="4"/>
      <c r="F103" s="4"/>
      <c r="G103" s="4"/>
    </row>
    <row r="104" spans="2:8" ht="48.75" customHeight="1">
      <c r="B104" s="288">
        <f>IF(E101="Yes","",IF(E101="Please refer to Note 1",T101,U101))</f>
      </c>
      <c r="C104" s="288"/>
      <c r="D104" s="288"/>
      <c r="E104" s="288"/>
      <c r="F104" s="288"/>
      <c r="G104" s="288"/>
      <c r="H104" s="288"/>
    </row>
    <row r="105" ht="15.75"/>
    <row r="106" spans="2:17" s="138" customFormat="1" ht="15.75">
      <c r="B106" s="138" t="s">
        <v>192</v>
      </c>
      <c r="E106" s="138">
        <v>0.14</v>
      </c>
      <c r="F106" s="138">
        <v>0.34</v>
      </c>
      <c r="H106" s="138">
        <v>1</v>
      </c>
      <c r="I106" s="138">
        <v>1.4</v>
      </c>
      <c r="K106" s="138">
        <v>2.24</v>
      </c>
      <c r="L106" s="138">
        <v>3.41</v>
      </c>
      <c r="N106" s="138">
        <v>4.36</v>
      </c>
      <c r="O106" s="138">
        <v>5.31</v>
      </c>
      <c r="Q106" s="138">
        <v>10</v>
      </c>
    </row>
    <row r="107" spans="2:17" s="138" customFormat="1" ht="15.75">
      <c r="B107" s="138" t="s">
        <v>193</v>
      </c>
      <c r="E107" s="138">
        <f>IF(E14="H.264",1,IF(E14="MPEG-4",2,IF(E14="M-JPEG",11.41,IF(E14="MxPEG",1.5,0.8))))</f>
        <v>1</v>
      </c>
      <c r="F107" s="138">
        <f>IF(F14="H.264",1,IF(F14="MPEG-4",2,IF(F14="M-JPEG",11.41,IF(F14="MxPEG",1.5,0.8))))</f>
        <v>1</v>
      </c>
      <c r="H107" s="138">
        <f>IF(H14="H.264",1,IF(H14="MPEG-4",2,IF(H14="M-JPEG",11.41,IF(H14="MxPEG",1.5,0.8))))</f>
        <v>1</v>
      </c>
      <c r="I107" s="138">
        <f>IF(I14="H.264",1,IF(I14="MPEG-4",2,IF(I14="M-JPEG",11.41,IF(I14="MxPEG",1.5,0.8))))</f>
        <v>1</v>
      </c>
      <c r="K107" s="138">
        <f>IF(K14="H.264",1,IF(K14="MPEG-4",2,IF(K14="M-JPEG",11.41,IF(K14="MxPEG",1.5,0.8))))</f>
        <v>1</v>
      </c>
      <c r="L107" s="138">
        <f>IF(L14="H.264",1,IF(L14="MPEG-4",2,IF(L14="M-JPEG",11.41,IF(L14="MxPEG",1.5,0.8))))</f>
        <v>1</v>
      </c>
      <c r="N107" s="138">
        <f>IF(N14="H.264",1,IF(N14="MPEG-4",2,IF(N14="M-JPEG",11.41,IF(N14="MxPEG",1.5,0.8))))</f>
        <v>1</v>
      </c>
      <c r="O107" s="138">
        <f>IF(O14="H.264",1,IF(O14="MPEG-4",2,IF(O14="M-JPEG",11.41,IF(O14="MxPEG",1.5,0.8))))</f>
        <v>1</v>
      </c>
      <c r="Q107" s="138">
        <f>IF(Q14="H.264",1,IF(Q14="MPEG-4",2,IF(Q14="M-JPEG",11.41,IF(Q14="MxPEG",1.5,0.8))))</f>
        <v>1</v>
      </c>
    </row>
    <row r="108" spans="2:17" s="138" customFormat="1" ht="15.75">
      <c r="B108" s="138" t="s">
        <v>194</v>
      </c>
      <c r="E108" s="138">
        <f aca="true" t="shared" si="1" ref="E108:L108">IF(E17=$V17,0.6,IF(E17=$T17,0.95,IF(E17=$U17,0.8,IF(E17=$W17,0.4,0.25))))</f>
        <v>0.6</v>
      </c>
      <c r="F108" s="138">
        <f t="shared" si="1"/>
        <v>0.6</v>
      </c>
      <c r="G108" s="138">
        <f t="shared" si="1"/>
        <v>0.25</v>
      </c>
      <c r="H108" s="138">
        <f t="shared" si="1"/>
        <v>0.6</v>
      </c>
      <c r="I108" s="138">
        <f t="shared" si="1"/>
        <v>0.6</v>
      </c>
      <c r="J108" s="138">
        <f t="shared" si="1"/>
        <v>0.25</v>
      </c>
      <c r="K108" s="138">
        <f t="shared" si="1"/>
        <v>0.6</v>
      </c>
      <c r="L108" s="138">
        <f t="shared" si="1"/>
        <v>0.6</v>
      </c>
      <c r="N108" s="138">
        <f>IF(N17=$V17,0.6,IF(N17=$T17,0.95,IF(N17=$U17,0.8,IF(N17=$W17,0.4,0.25))))</f>
        <v>0.6</v>
      </c>
      <c r="O108" s="138">
        <f>IF(O17=$V17,0.6,IF(O17=$T17,0.95,IF(O17=$U17,0.8,IF(O17=$W17,0.4,0.25))))</f>
        <v>0.6</v>
      </c>
      <c r="Q108" s="138">
        <f>IF(Q17=$V17,0.6,IF(Q17=$T17,0.95,IF(Q17=$U17,0.8,IF(Q17=$W17,0.4,0.25))))</f>
        <v>0.6</v>
      </c>
    </row>
    <row r="109" spans="2:17" s="138" customFormat="1" ht="15.75">
      <c r="B109" s="138" t="s">
        <v>195</v>
      </c>
      <c r="E109" s="138">
        <f aca="true" t="shared" si="2" ref="E109:L109">IF(E18=$V18,50,IF(E18=$T18,90,IF(E18=$U18,75,IF(E18=$W18,35,20))))</f>
        <v>35</v>
      </c>
      <c r="F109" s="138">
        <f t="shared" si="2"/>
        <v>35</v>
      </c>
      <c r="G109" s="138">
        <f t="shared" si="2"/>
        <v>20</v>
      </c>
      <c r="H109" s="138">
        <f t="shared" si="2"/>
        <v>35</v>
      </c>
      <c r="I109" s="138">
        <f t="shared" si="2"/>
        <v>35</v>
      </c>
      <c r="J109" s="138">
        <f t="shared" si="2"/>
        <v>20</v>
      </c>
      <c r="K109" s="138">
        <f t="shared" si="2"/>
        <v>35</v>
      </c>
      <c r="L109" s="138">
        <f t="shared" si="2"/>
        <v>35</v>
      </c>
      <c r="N109" s="138">
        <f>IF(N18=$V18,50,IF(N18=$T18,90,IF(N18=$U18,75,IF(N18=$W18,35,20))))</f>
        <v>35</v>
      </c>
      <c r="O109" s="138">
        <f>IF(O18=$V18,50,IF(O18=$T18,90,IF(O18=$U18,75,IF(O18=$W18,35,20))))</f>
        <v>35</v>
      </c>
      <c r="Q109" s="138">
        <f>IF(Q18=$V18,50,IF(Q18=$T18,90,IF(Q18=$U18,75,IF(Q18=$W18,35,20))))</f>
        <v>35</v>
      </c>
    </row>
    <row r="110" spans="5:17" s="138" customFormat="1" ht="15.75">
      <c r="E110" s="138">
        <f>IF(E22=0,0.5,E21)</f>
        <v>0.5</v>
      </c>
      <c r="F110" s="138">
        <f>IF(F22=0,1,F21)</f>
        <v>1</v>
      </c>
      <c r="H110" s="138">
        <f>IF(H22=0,3,H21)</f>
        <v>3</v>
      </c>
      <c r="I110" s="138">
        <f>IF(I22=0,4,I21)</f>
        <v>4</v>
      </c>
      <c r="K110" s="138">
        <f>IF(K22=0,6,K21)</f>
        <v>6.180148438464001</v>
      </c>
      <c r="L110" s="138">
        <f>IF(L22=0,9,L21)</f>
        <v>9</v>
      </c>
      <c r="N110" s="138">
        <f>IF(N22=0,12,N21)</f>
        <v>12</v>
      </c>
      <c r="O110" s="138">
        <f>IF(O22=0,15,O21)</f>
        <v>15</v>
      </c>
      <c r="Q110" s="138">
        <f>IF(Q22=0,25,Q21)</f>
        <v>25</v>
      </c>
    </row>
    <row r="111" spans="2:16" s="5" customFormat="1" ht="15.75">
      <c r="B111" s="5" t="s">
        <v>235</v>
      </c>
      <c r="E111" s="174">
        <f>IF(E58=$T$42,E113,IF(E58=$U$42,$N$47,$F$47))</f>
        <v>2.5</v>
      </c>
      <c r="F111" s="174">
        <f>IF(F58=$T$42,F113,IF(F58=$U$42,$N$47,$F$47))</f>
        <v>2.5</v>
      </c>
      <c r="G111" s="174"/>
      <c r="H111" s="174">
        <f>IF(H58=$T$42,H113,IF(H58=$U$42,$N$47,$F$47))</f>
        <v>7.5</v>
      </c>
      <c r="I111" s="174">
        <f>IF(I58=$T$42,I113,IF(I58=$U$42,$N$47,$F$47))</f>
        <v>40</v>
      </c>
      <c r="J111" s="174"/>
      <c r="K111" s="174">
        <f>IF(K58=$T$42,K113,IF(K58=$U$42,$N$47,$F$47))</f>
        <v>61.80148438464001</v>
      </c>
      <c r="L111" s="174">
        <f>IF(L58=$T$42,L113,IF(L58=$U$42,$N$47,$F$47))</f>
        <v>90</v>
      </c>
      <c r="M111" s="174"/>
      <c r="N111" s="174">
        <f>IF(N58=$T$42,N113,IF(N58=$U$42,$N$47,$F$47))</f>
        <v>120</v>
      </c>
      <c r="O111" s="174">
        <f>IF(O58=$T$42,O113,IF(O58=$U$42,$N$47,$F$47))</f>
        <v>7.5</v>
      </c>
      <c r="P111" s="30"/>
    </row>
    <row r="112" spans="5:16" s="5" customFormat="1" ht="15.75" hidden="1">
      <c r="E112" s="30">
        <f>E25+E45+E53+E76+E84</f>
        <v>123.60296876928003</v>
      </c>
      <c r="F112" s="5">
        <f>E61+E69</f>
        <v>370.80890630784006</v>
      </c>
      <c r="H112" s="5">
        <f>IF(J36=T34,0.1,0)</f>
        <v>0</v>
      </c>
      <c r="I112" s="30">
        <f>IF(E$14=U$14,IF(E$58=T$42,0,E$60+E$68),E$60+E$68)+IF(F$14=U$14,IF(F$58=T$42,0,F$60+F$68),F$60+F$68)+IF(H$14=U$14,IF(H$58=T$42,0,H$60+H$68),H$60+H$68)+IF(I$14=U$14,IF(I$58=T$42,0,I$60+I$68),I$60+I$68)+IF(K$14=U$14,IF(K$58=T$42,0,K$60+K$68),K$60+K$68)+IF(L$14=U$14,IF(L$58=T$42,0,L$60+L$68),L$60+L$68)+IF(N$14=U$14,IF(N$58=T$42,0,N$60+N$68),N$60+N$68)+O$60</f>
        <v>0</v>
      </c>
      <c r="K112" s="30">
        <f>IF(E$14=U$14,IF(E$58=T$42,E59*E21+E67*E21,0))+IF(F$14=U$14,IF(F$58=T$42,F59*F21+F67*F21,0))+IF(H$14=U$14,IF(H$58=T$42,H59*H21+H67*H21,0))+IF(I$14=U$14,IF(I$58=T$42,I59*I21+I67*I21,0))+IF(K$14=U$14,IF(K$58=T$42,K59*K21+K67*K21,0))+IF(L$14=U$14,IF(L$58=T$42,L59*L21+L67*L21,0))+IF(N$14=U$14,IF(N$58=T$42,N59*N21+N67*N21,0))</f>
        <v>37.080890630784005</v>
      </c>
      <c r="L112" s="115">
        <f>(0.0000005*K112^3-0.0006*K112^2+0.1528*K112*2.0457)/100</f>
        <v>0.10791352055151217</v>
      </c>
      <c r="O112" s="30"/>
      <c r="P112" s="30"/>
    </row>
    <row r="113" spans="2:16" s="5" customFormat="1" ht="15.75" hidden="1">
      <c r="B113" s="5" t="s">
        <v>236</v>
      </c>
      <c r="E113" s="5">
        <f>IF(E14=$W$14,IF(E22=0,E110,E21)*2.5,IF(E14=$V$14,IF(E22=0,E110,E21)*5,IF(E22=$X$14,IF(E22=0,E110,E21)*4,IF(E22=0,E110,E21)*10)))</f>
        <v>5</v>
      </c>
      <c r="F113" s="5">
        <f aca="true" t="shared" si="3" ref="F113:N113">IF(F14=$W$14,IF(F22=0,F110,F21)*2.5,IF(F14=$V$14,IF(F22=0,F110,F21)*5,IF(F22=0,F110,F21)*10))</f>
        <v>10</v>
      </c>
      <c r="H113" s="5">
        <f t="shared" si="3"/>
        <v>30</v>
      </c>
      <c r="I113" s="5">
        <f t="shared" si="3"/>
        <v>40</v>
      </c>
      <c r="K113" s="5">
        <f t="shared" si="3"/>
        <v>61.80148438464001</v>
      </c>
      <c r="L113" s="5">
        <f t="shared" si="3"/>
        <v>90</v>
      </c>
      <c r="N113" s="5">
        <f t="shared" si="3"/>
        <v>120</v>
      </c>
      <c r="P113" s="30"/>
    </row>
    <row r="114" spans="15:16" s="5" customFormat="1" ht="15.75" hidden="1">
      <c r="O114" s="30"/>
      <c r="P114" s="30"/>
    </row>
    <row r="115" spans="2:16" s="5" customFormat="1" ht="15.75" hidden="1">
      <c r="B115" s="175">
        <f>SUM(E59:P59)+SUM(E67:N67)</f>
        <v>6</v>
      </c>
      <c r="D115" s="5">
        <v>4</v>
      </c>
      <c r="E115" s="168">
        <f>SUM(E15:Q15)</f>
        <v>20</v>
      </c>
      <c r="F115" s="169">
        <f>SUM(E43:Q43)+SUM(E74:P74)</f>
        <v>0</v>
      </c>
      <c r="G115" s="169"/>
      <c r="H115" s="5" t="str">
        <f>VLOOKUP(E95,B116:H142,7,FALSE)</f>
        <v>Yes</v>
      </c>
      <c r="I115" s="115">
        <v>0.88</v>
      </c>
      <c r="J115" s="115"/>
      <c r="K115" s="5">
        <f>SUM(E59:P59)</f>
        <v>6</v>
      </c>
      <c r="L115" s="175">
        <f>SUM(E51:Q51)</f>
        <v>0</v>
      </c>
      <c r="M115" s="5">
        <f>IF(E$14=$X$14,0.8*E$15,0)+IF(F$14=$X$14,F$15,0)+IF(H$14=$X$14,1.3*H$15,0)+IF(I$14=$X$14,1.9*I$15,0)+IF(K$14=$X$14,3.1*K$15,0)+IF(L$14=$X$14,L$15,0)+IF(N$14=$X$14,N$15,0)+IF(O$14=$X$14,O$15,0)+IF(Q$14=$X$14,Q$15,0)</f>
        <v>0</v>
      </c>
      <c r="O115" s="30"/>
      <c r="P115" s="30"/>
    </row>
    <row r="116" spans="1:21" s="5" customFormat="1" ht="31.5">
      <c r="A116" s="5">
        <v>1</v>
      </c>
      <c r="B116" s="176" t="s">
        <v>12</v>
      </c>
      <c r="C116" s="176"/>
      <c r="D116" s="177">
        <v>1</v>
      </c>
      <c r="E116" s="177">
        <v>4</v>
      </c>
      <c r="F116" s="177">
        <v>28</v>
      </c>
      <c r="G116" s="177"/>
      <c r="H116" s="177" t="s">
        <v>25</v>
      </c>
      <c r="I116" s="178">
        <v>0</v>
      </c>
      <c r="J116" s="178"/>
      <c r="K116" s="178" t="str">
        <f>K$118</f>
        <v>Desktop/Portable</v>
      </c>
      <c r="L116" s="115">
        <f>IF($E$112=0,0,($E$112/30)*1.1)</f>
        <v>4.532108854873601</v>
      </c>
      <c r="M116" s="115"/>
      <c r="N116" s="115">
        <f>IF(N115&gt;0,1,0)</f>
        <v>0</v>
      </c>
      <c r="O116" s="115">
        <f aca="true" t="shared" si="4" ref="O116:O130">L116+M116+$H$112+N116</f>
        <v>4.532108854873601</v>
      </c>
      <c r="P116" s="115">
        <f aca="true" t="shared" si="5" ref="P116:P122">IF($U116=0,0,IF($E$115&gt;$E116,0,IF($O116&gt;$I$115,0,IF(E$29=S$29,1-$O116,IF(E$29=K116,1-$O116,0)))))</f>
        <v>0</v>
      </c>
      <c r="Q116" s="115"/>
      <c r="T116" s="5">
        <f>T$118</f>
        <v>4</v>
      </c>
      <c r="U116" s="5">
        <f aca="true" t="shared" si="6" ref="U116:U121">IF(E$30&gt;T116,0)</f>
        <v>0</v>
      </c>
    </row>
    <row r="117" spans="1:21" s="5" customFormat="1" ht="31.5">
      <c r="A117" s="5">
        <v>2</v>
      </c>
      <c r="B117" s="176" t="s">
        <v>2</v>
      </c>
      <c r="C117" s="176"/>
      <c r="D117" s="177">
        <v>2</v>
      </c>
      <c r="E117" s="177">
        <v>4</v>
      </c>
      <c r="F117" s="177">
        <v>28</v>
      </c>
      <c r="G117" s="177"/>
      <c r="H117" s="177" t="s">
        <v>25</v>
      </c>
      <c r="I117" s="178">
        <v>0</v>
      </c>
      <c r="J117" s="178"/>
      <c r="K117" s="178" t="str">
        <f>K$118</f>
        <v>Desktop/Portable</v>
      </c>
      <c r="L117" s="115">
        <f>IF($E$112=0,0,($E$112/30)*1.1)</f>
        <v>4.532108854873601</v>
      </c>
      <c r="M117" s="115"/>
      <c r="N117" s="115">
        <f>IF(N116&gt;0,1,0)</f>
        <v>0</v>
      </c>
      <c r="O117" s="115">
        <f t="shared" si="4"/>
        <v>4.532108854873601</v>
      </c>
      <c r="P117" s="115">
        <f t="shared" si="5"/>
        <v>0</v>
      </c>
      <c r="Q117" s="115"/>
      <c r="T117" s="5">
        <f>T$118</f>
        <v>4</v>
      </c>
      <c r="U117" s="5">
        <f t="shared" si="6"/>
        <v>0</v>
      </c>
    </row>
    <row r="118" spans="1:21" s="5" customFormat="1" ht="31.5">
      <c r="A118" s="5">
        <v>3</v>
      </c>
      <c r="B118" s="176" t="s">
        <v>1</v>
      </c>
      <c r="C118" s="176"/>
      <c r="D118" s="177">
        <v>2</v>
      </c>
      <c r="E118" s="177">
        <v>8</v>
      </c>
      <c r="F118" s="177">
        <v>28</v>
      </c>
      <c r="G118" s="177"/>
      <c r="H118" s="177" t="s">
        <v>25</v>
      </c>
      <c r="I118" s="178">
        <v>0</v>
      </c>
      <c r="J118" s="178"/>
      <c r="K118" s="178" t="str">
        <f>T$29</f>
        <v>Desktop/Portable</v>
      </c>
      <c r="L118" s="115">
        <f>IF($E$112=0,0,($E$112/30)*1.1)</f>
        <v>4.532108854873601</v>
      </c>
      <c r="M118" s="115"/>
      <c r="N118" s="115">
        <f>IF(N117&gt;0,1,0)</f>
        <v>0</v>
      </c>
      <c r="O118" s="115">
        <f t="shared" si="4"/>
        <v>4.532108854873601</v>
      </c>
      <c r="P118" s="115">
        <f t="shared" si="5"/>
        <v>0</v>
      </c>
      <c r="Q118" s="115"/>
      <c r="T118" s="5">
        <f>T125</f>
        <v>4</v>
      </c>
      <c r="U118" s="5">
        <f t="shared" si="6"/>
        <v>0</v>
      </c>
    </row>
    <row r="119" spans="1:21" s="5" customFormat="1" ht="31.5">
      <c r="A119" s="5">
        <v>4</v>
      </c>
      <c r="B119" s="176" t="s">
        <v>40</v>
      </c>
      <c r="C119" s="176"/>
      <c r="D119" s="177">
        <v>2</v>
      </c>
      <c r="E119" s="177">
        <v>4</v>
      </c>
      <c r="F119" s="177">
        <f>F$124</f>
        <v>176</v>
      </c>
      <c r="G119" s="177"/>
      <c r="H119" s="177" t="s">
        <v>24</v>
      </c>
      <c r="I119" s="178">
        <f>I$124</f>
        <v>60</v>
      </c>
      <c r="J119" s="178"/>
      <c r="K119" s="178" t="str">
        <f>K$121</f>
        <v>Desktop/Portable</v>
      </c>
      <c r="L119" s="115">
        <f aca="true" t="shared" si="7" ref="L119:L124">IF($E$112=0,0,($E$112/160)*1.1)</f>
        <v>0.8497704102888002</v>
      </c>
      <c r="M119" s="115">
        <f aca="true" t="shared" si="8" ref="M119:M124">IF(B$115=0,0,$F$112/I119*1.1)</f>
        <v>6.7981632823104015</v>
      </c>
      <c r="N119" s="115">
        <f aca="true" t="shared" si="9" ref="N119:N130">N$115/100</f>
        <v>0</v>
      </c>
      <c r="O119" s="115">
        <f t="shared" si="4"/>
        <v>7.647933692599201</v>
      </c>
      <c r="P119" s="115">
        <f t="shared" si="5"/>
        <v>0</v>
      </c>
      <c r="Q119" s="115"/>
      <c r="T119" s="5">
        <f>T$124</f>
        <v>4</v>
      </c>
      <c r="U119" s="5">
        <f t="shared" si="6"/>
        <v>0</v>
      </c>
    </row>
    <row r="120" spans="1:21" s="5" customFormat="1" ht="31.5">
      <c r="A120" s="5">
        <v>5</v>
      </c>
      <c r="B120" s="176" t="s">
        <v>39</v>
      </c>
      <c r="C120" s="176"/>
      <c r="D120" s="177">
        <v>2</v>
      </c>
      <c r="E120" s="177">
        <v>8</v>
      </c>
      <c r="F120" s="177">
        <f>F$124</f>
        <v>176</v>
      </c>
      <c r="G120" s="177"/>
      <c r="H120" s="177" t="s">
        <v>24</v>
      </c>
      <c r="I120" s="178">
        <f>I$124</f>
        <v>60</v>
      </c>
      <c r="J120" s="178"/>
      <c r="K120" s="178" t="str">
        <f>K$121</f>
        <v>Desktop/Portable</v>
      </c>
      <c r="L120" s="115">
        <f t="shared" si="7"/>
        <v>0.8497704102888002</v>
      </c>
      <c r="M120" s="115">
        <f t="shared" si="8"/>
        <v>6.7981632823104015</v>
      </c>
      <c r="N120" s="115">
        <f t="shared" si="9"/>
        <v>0</v>
      </c>
      <c r="O120" s="115">
        <f t="shared" si="4"/>
        <v>7.647933692599201</v>
      </c>
      <c r="P120" s="115">
        <f t="shared" si="5"/>
        <v>0</v>
      </c>
      <c r="Q120" s="115"/>
      <c r="T120" s="5">
        <f>T$124</f>
        <v>4</v>
      </c>
      <c r="U120" s="5">
        <f t="shared" si="6"/>
        <v>0</v>
      </c>
    </row>
    <row r="121" spans="1:21" s="5" customFormat="1" ht="31.5">
      <c r="A121" s="5">
        <v>6</v>
      </c>
      <c r="B121" s="176" t="s">
        <v>38</v>
      </c>
      <c r="C121" s="176"/>
      <c r="D121" s="177">
        <v>2</v>
      </c>
      <c r="E121" s="177">
        <v>12</v>
      </c>
      <c r="F121" s="177">
        <f>F$124</f>
        <v>176</v>
      </c>
      <c r="G121" s="177"/>
      <c r="H121" s="177" t="s">
        <v>24</v>
      </c>
      <c r="I121" s="178">
        <f>I$124</f>
        <v>60</v>
      </c>
      <c r="J121" s="178"/>
      <c r="K121" s="178" t="str">
        <f>T$29</f>
        <v>Desktop/Portable</v>
      </c>
      <c r="L121" s="115">
        <f t="shared" si="7"/>
        <v>0.8497704102888002</v>
      </c>
      <c r="M121" s="115">
        <f t="shared" si="8"/>
        <v>6.7981632823104015</v>
      </c>
      <c r="N121" s="115">
        <f t="shared" si="9"/>
        <v>0</v>
      </c>
      <c r="O121" s="115">
        <f t="shared" si="4"/>
        <v>7.647933692599201</v>
      </c>
      <c r="P121" s="115">
        <f t="shared" si="5"/>
        <v>0</v>
      </c>
      <c r="Q121" s="115"/>
      <c r="T121" s="5">
        <f>T$124</f>
        <v>4</v>
      </c>
      <c r="U121" s="5">
        <f t="shared" si="6"/>
        <v>0</v>
      </c>
    </row>
    <row r="122" spans="1:21" s="5" customFormat="1" ht="15.75">
      <c r="A122" s="5">
        <v>7</v>
      </c>
      <c r="B122" s="176" t="s">
        <v>19</v>
      </c>
      <c r="C122" s="176"/>
      <c r="D122" s="177">
        <v>4</v>
      </c>
      <c r="E122" s="177">
        <v>8</v>
      </c>
      <c r="F122" s="177">
        <f>F$124</f>
        <v>176</v>
      </c>
      <c r="G122" s="177"/>
      <c r="H122" s="177" t="s">
        <v>24</v>
      </c>
      <c r="I122" s="178">
        <f>I$124</f>
        <v>60</v>
      </c>
      <c r="J122" s="178"/>
      <c r="K122" s="178" t="str">
        <f>K$124</f>
        <v>Rack mount</v>
      </c>
      <c r="L122" s="115">
        <f t="shared" si="7"/>
        <v>0.8497704102888002</v>
      </c>
      <c r="M122" s="115">
        <f t="shared" si="8"/>
        <v>6.7981632823104015</v>
      </c>
      <c r="N122" s="115">
        <f t="shared" si="9"/>
        <v>0</v>
      </c>
      <c r="O122" s="115">
        <f t="shared" si="4"/>
        <v>7.647933692599201</v>
      </c>
      <c r="P122" s="115">
        <f t="shared" si="5"/>
        <v>0</v>
      </c>
      <c r="Q122" s="115"/>
      <c r="T122" s="5">
        <f>T$124</f>
        <v>4</v>
      </c>
      <c r="U122" s="5" t="b">
        <f aca="true" t="shared" si="10" ref="U122:U142">IF(ROUNDUP(E$30/T122,0)+1&gt;D122,0)</f>
        <v>0</v>
      </c>
    </row>
    <row r="123" spans="1:21" s="5" customFormat="1" ht="15.75">
      <c r="A123" s="5">
        <v>8</v>
      </c>
      <c r="B123" s="176" t="s">
        <v>18</v>
      </c>
      <c r="C123" s="176"/>
      <c r="D123" s="177">
        <v>4</v>
      </c>
      <c r="E123" s="177">
        <v>12</v>
      </c>
      <c r="F123" s="177">
        <f>F$124</f>
        <v>176</v>
      </c>
      <c r="G123" s="177"/>
      <c r="H123" s="177" t="s">
        <v>24</v>
      </c>
      <c r="I123" s="178">
        <f>I$124</f>
        <v>60</v>
      </c>
      <c r="J123" s="178"/>
      <c r="K123" s="178" t="str">
        <f>K$124</f>
        <v>Rack mount</v>
      </c>
      <c r="L123" s="115">
        <f t="shared" si="7"/>
        <v>0.8497704102888002</v>
      </c>
      <c r="M123" s="115">
        <f t="shared" si="8"/>
        <v>6.7981632823104015</v>
      </c>
      <c r="N123" s="115">
        <f t="shared" si="9"/>
        <v>0</v>
      </c>
      <c r="O123" s="115">
        <f t="shared" si="4"/>
        <v>7.647933692599201</v>
      </c>
      <c r="P123" s="115">
        <f aca="true" t="shared" si="11" ref="P123:P142">IF($U123=0,0,IF($E$115&gt;$E123,0,IF($O123&gt;$I$115,0,IF(E$29=S$29,1-$O123,IF(E$29=K123,1-$O123,0)))))</f>
        <v>0</v>
      </c>
      <c r="Q123" s="115"/>
      <c r="T123" s="5">
        <f>T$124</f>
        <v>4</v>
      </c>
      <c r="U123" s="5" t="b">
        <f t="shared" si="10"/>
        <v>0</v>
      </c>
    </row>
    <row r="124" spans="1:21" s="5" customFormat="1" ht="15.75">
      <c r="A124" s="5">
        <v>9</v>
      </c>
      <c r="B124" s="176" t="s">
        <v>27</v>
      </c>
      <c r="C124" s="176"/>
      <c r="D124" s="177">
        <v>4</v>
      </c>
      <c r="E124" s="177">
        <v>16</v>
      </c>
      <c r="F124" s="177">
        <v>176</v>
      </c>
      <c r="G124" s="177"/>
      <c r="H124" s="177" t="s">
        <v>24</v>
      </c>
      <c r="I124" s="178">
        <v>60</v>
      </c>
      <c r="J124" s="178"/>
      <c r="K124" s="178" t="str">
        <f>U$29</f>
        <v>Rack mount</v>
      </c>
      <c r="L124" s="115">
        <f t="shared" si="7"/>
        <v>0.8497704102888002</v>
      </c>
      <c r="M124" s="115">
        <f t="shared" si="8"/>
        <v>6.7981632823104015</v>
      </c>
      <c r="N124" s="115">
        <f t="shared" si="9"/>
        <v>0</v>
      </c>
      <c r="O124" s="115">
        <f t="shared" si="4"/>
        <v>7.647933692599201</v>
      </c>
      <c r="P124" s="115">
        <f t="shared" si="11"/>
        <v>0</v>
      </c>
      <c r="Q124" s="115"/>
      <c r="T124" s="5">
        <v>4</v>
      </c>
      <c r="U124" s="5" t="b">
        <f t="shared" si="10"/>
        <v>0</v>
      </c>
    </row>
    <row r="125" spans="1:21" s="5" customFormat="1" ht="15.75">
      <c r="A125" s="5">
        <v>10</v>
      </c>
      <c r="B125" s="176" t="s">
        <v>244</v>
      </c>
      <c r="C125" s="176"/>
      <c r="D125" s="177">
        <v>4</v>
      </c>
      <c r="E125" s="177">
        <v>8</v>
      </c>
      <c r="F125" s="177">
        <v>250</v>
      </c>
      <c r="G125" s="177"/>
      <c r="H125" s="177" t="s">
        <v>24</v>
      </c>
      <c r="I125" s="178">
        <v>180</v>
      </c>
      <c r="J125" s="178"/>
      <c r="K125" s="178" t="str">
        <f>K$127</f>
        <v>Desktop/Portable</v>
      </c>
      <c r="L125" s="115">
        <f aca="true" t="shared" si="12" ref="L125:L130">IF($E$112=0,0,($E$112/330)*1.1)</f>
        <v>0.4120098958976001</v>
      </c>
      <c r="M125" s="115">
        <f aca="true" t="shared" si="13" ref="M125:M130">IF(B$115=0,0,(I$112/I$125+L$112)*1.1)</f>
        <v>0.11870487260666339</v>
      </c>
      <c r="N125" s="115">
        <f t="shared" si="9"/>
        <v>0</v>
      </c>
      <c r="O125" s="115">
        <f t="shared" si="4"/>
        <v>0.5307147685042635</v>
      </c>
      <c r="P125" s="115">
        <f t="shared" si="11"/>
        <v>0</v>
      </c>
      <c r="Q125" s="115"/>
      <c r="T125" s="5">
        <f>T$130</f>
        <v>4</v>
      </c>
      <c r="U125" s="5" t="b">
        <f t="shared" si="10"/>
        <v>0</v>
      </c>
    </row>
    <row r="126" spans="1:21" s="5" customFormat="1" ht="15.75">
      <c r="A126" s="5">
        <v>11</v>
      </c>
      <c r="B126" s="176" t="s">
        <v>242</v>
      </c>
      <c r="C126" s="176"/>
      <c r="D126" s="177">
        <v>4</v>
      </c>
      <c r="E126" s="177">
        <v>12</v>
      </c>
      <c r="F126" s="177">
        <v>250</v>
      </c>
      <c r="G126" s="177"/>
      <c r="H126" s="177" t="s">
        <v>24</v>
      </c>
      <c r="I126" s="178">
        <f>I$125</f>
        <v>180</v>
      </c>
      <c r="J126" s="178"/>
      <c r="K126" s="178" t="str">
        <f>K$127</f>
        <v>Desktop/Portable</v>
      </c>
      <c r="L126" s="115">
        <f t="shared" si="12"/>
        <v>0.4120098958976001</v>
      </c>
      <c r="M126" s="115">
        <f t="shared" si="13"/>
        <v>0.11870487260666339</v>
      </c>
      <c r="N126" s="115">
        <f t="shared" si="9"/>
        <v>0</v>
      </c>
      <c r="O126" s="115">
        <f t="shared" si="4"/>
        <v>0.5307147685042635</v>
      </c>
      <c r="P126" s="115">
        <f t="shared" si="11"/>
        <v>0</v>
      </c>
      <c r="Q126" s="115"/>
      <c r="T126" s="5">
        <f>T$130</f>
        <v>4</v>
      </c>
      <c r="U126" s="5" t="b">
        <f t="shared" si="10"/>
        <v>0</v>
      </c>
    </row>
    <row r="127" spans="1:21" s="5" customFormat="1" ht="15.75">
      <c r="A127" s="5">
        <v>12</v>
      </c>
      <c r="B127" s="176" t="s">
        <v>243</v>
      </c>
      <c r="C127" s="176"/>
      <c r="D127" s="177">
        <v>4</v>
      </c>
      <c r="E127" s="177">
        <v>16</v>
      </c>
      <c r="F127" s="177">
        <v>250</v>
      </c>
      <c r="G127" s="177"/>
      <c r="H127" s="177" t="s">
        <v>24</v>
      </c>
      <c r="I127" s="178">
        <f>I$125</f>
        <v>180</v>
      </c>
      <c r="J127" s="178"/>
      <c r="K127" s="178" t="str">
        <f>T$29</f>
        <v>Desktop/Portable</v>
      </c>
      <c r="L127" s="115">
        <f t="shared" si="12"/>
        <v>0.4120098958976001</v>
      </c>
      <c r="M127" s="115">
        <f t="shared" si="13"/>
        <v>0.11870487260666339</v>
      </c>
      <c r="N127" s="115">
        <f t="shared" si="9"/>
        <v>0</v>
      </c>
      <c r="O127" s="115">
        <f t="shared" si="4"/>
        <v>0.5307147685042635</v>
      </c>
      <c r="P127" s="115">
        <f t="shared" si="11"/>
        <v>0</v>
      </c>
      <c r="Q127" s="115"/>
      <c r="T127" s="5">
        <f>T$130</f>
        <v>4</v>
      </c>
      <c r="U127" s="5" t="b">
        <f t="shared" si="10"/>
        <v>0</v>
      </c>
    </row>
    <row r="128" spans="1:21" s="5" customFormat="1" ht="15.75">
      <c r="A128" s="5">
        <v>13</v>
      </c>
      <c r="B128" s="176" t="s">
        <v>238</v>
      </c>
      <c r="C128" s="176"/>
      <c r="D128" s="177">
        <v>6</v>
      </c>
      <c r="E128" s="177">
        <v>12</v>
      </c>
      <c r="F128" s="177">
        <v>330</v>
      </c>
      <c r="G128" s="177"/>
      <c r="H128" s="177" t="s">
        <v>24</v>
      </c>
      <c r="I128" s="178">
        <f>I$125</f>
        <v>180</v>
      </c>
      <c r="J128" s="178"/>
      <c r="K128" s="178" t="str">
        <f>K$130</f>
        <v>Desktop/Portable</v>
      </c>
      <c r="L128" s="115">
        <f t="shared" si="12"/>
        <v>0.4120098958976001</v>
      </c>
      <c r="M128" s="115">
        <f t="shared" si="13"/>
        <v>0.11870487260666339</v>
      </c>
      <c r="N128" s="115">
        <f t="shared" si="9"/>
        <v>0</v>
      </c>
      <c r="O128" s="115">
        <f t="shared" si="4"/>
        <v>0.5307147685042635</v>
      </c>
      <c r="P128" s="115">
        <f t="shared" si="11"/>
        <v>0</v>
      </c>
      <c r="Q128" s="115"/>
      <c r="T128" s="5">
        <f>T$130</f>
        <v>4</v>
      </c>
      <c r="U128" s="5" t="b">
        <f t="shared" si="10"/>
        <v>0</v>
      </c>
    </row>
    <row r="129" spans="1:21" s="5" customFormat="1" ht="15.75">
      <c r="A129" s="5">
        <v>14</v>
      </c>
      <c r="B129" s="176" t="s">
        <v>239</v>
      </c>
      <c r="C129" s="176"/>
      <c r="D129" s="177">
        <v>6</v>
      </c>
      <c r="E129" s="177">
        <v>16</v>
      </c>
      <c r="F129" s="177">
        <v>330</v>
      </c>
      <c r="G129" s="177"/>
      <c r="H129" s="177" t="s">
        <v>24</v>
      </c>
      <c r="I129" s="178">
        <f>I$125</f>
        <v>180</v>
      </c>
      <c r="J129" s="178"/>
      <c r="K129" s="178" t="str">
        <f>K$130</f>
        <v>Desktop/Portable</v>
      </c>
      <c r="L129" s="115">
        <f t="shared" si="12"/>
        <v>0.4120098958976001</v>
      </c>
      <c r="M129" s="115">
        <f t="shared" si="13"/>
        <v>0.11870487260666339</v>
      </c>
      <c r="N129" s="115">
        <f t="shared" si="9"/>
        <v>0</v>
      </c>
      <c r="O129" s="115">
        <f t="shared" si="4"/>
        <v>0.5307147685042635</v>
      </c>
      <c r="P129" s="115">
        <f t="shared" si="11"/>
        <v>0</v>
      </c>
      <c r="Q129" s="115"/>
      <c r="T129" s="5">
        <f>T$130</f>
        <v>4</v>
      </c>
      <c r="U129" s="5" t="b">
        <f t="shared" si="10"/>
        <v>0</v>
      </c>
    </row>
    <row r="130" spans="1:21" s="5" customFormat="1" ht="15.75">
      <c r="A130" s="5">
        <v>15</v>
      </c>
      <c r="B130" s="176" t="s">
        <v>241</v>
      </c>
      <c r="C130" s="176"/>
      <c r="D130" s="177">
        <v>6</v>
      </c>
      <c r="E130" s="177">
        <v>20</v>
      </c>
      <c r="F130" s="177">
        <v>330</v>
      </c>
      <c r="G130" s="177"/>
      <c r="H130" s="177" t="s">
        <v>24</v>
      </c>
      <c r="I130" s="178">
        <f>I$125</f>
        <v>180</v>
      </c>
      <c r="J130" s="178"/>
      <c r="K130" s="178" t="str">
        <f>T$29</f>
        <v>Desktop/Portable</v>
      </c>
      <c r="L130" s="115">
        <f t="shared" si="12"/>
        <v>0.4120098958976001</v>
      </c>
      <c r="M130" s="115">
        <f t="shared" si="13"/>
        <v>0.11870487260666339</v>
      </c>
      <c r="N130" s="115">
        <f t="shared" si="9"/>
        <v>0</v>
      </c>
      <c r="O130" s="115">
        <f t="shared" si="4"/>
        <v>0.5307147685042635</v>
      </c>
      <c r="P130" s="115">
        <f t="shared" si="11"/>
        <v>0.46928523149573653</v>
      </c>
      <c r="Q130" s="115"/>
      <c r="T130" s="5">
        <f>T142</f>
        <v>4</v>
      </c>
      <c r="U130" s="5" t="b">
        <f t="shared" si="10"/>
        <v>0</v>
      </c>
    </row>
    <row r="131" spans="1:21" s="5" customFormat="1" ht="15.75">
      <c r="A131" s="5">
        <v>16</v>
      </c>
      <c r="B131" s="176" t="s">
        <v>37</v>
      </c>
      <c r="C131" s="176"/>
      <c r="D131" s="177">
        <v>8</v>
      </c>
      <c r="E131" s="177">
        <v>24</v>
      </c>
      <c r="F131" s="177">
        <f aca="true" t="shared" si="14" ref="F131:F137">F$138</f>
        <v>400</v>
      </c>
      <c r="G131" s="177"/>
      <c r="H131" s="177" t="s">
        <v>24</v>
      </c>
      <c r="I131" s="178">
        <f aca="true" t="shared" si="15" ref="I131:I137">I$138</f>
        <v>600</v>
      </c>
      <c r="J131" s="178"/>
      <c r="K131" s="178" t="str">
        <f>K$134</f>
        <v>Desktop/Portable</v>
      </c>
      <c r="L131" s="115">
        <f aca="true" t="shared" si="16" ref="L131:L142">IF($E$112=0,0,((0.000000005*($E$112^3)-0.000005*($E$112^2)+0.0028*$E$112+0.0673)*$F$138/F131)*1.1)</f>
        <v>0.3810858531853667</v>
      </c>
      <c r="M131" s="115">
        <f aca="true" t="shared" si="17" ref="M131:M142">IF(B$115=0,0,$F$112/I131*1.1)</f>
        <v>0.6798163282310402</v>
      </c>
      <c r="N131" s="115"/>
      <c r="O131" s="115">
        <f aca="true" t="shared" si="18" ref="O131:O142">L131+M131+$H$112</f>
        <v>1.0609021814164068</v>
      </c>
      <c r="P131" s="115">
        <f t="shared" si="11"/>
        <v>0</v>
      </c>
      <c r="Q131" s="115"/>
      <c r="T131" s="5">
        <f aca="true" t="shared" si="19" ref="T131:T140">T$142</f>
        <v>4</v>
      </c>
      <c r="U131" s="5" t="b">
        <f t="shared" si="10"/>
        <v>0</v>
      </c>
    </row>
    <row r="132" spans="1:21" s="5" customFormat="1" ht="15.75">
      <c r="A132" s="5">
        <v>17</v>
      </c>
      <c r="B132" s="176" t="s">
        <v>36</v>
      </c>
      <c r="C132" s="176"/>
      <c r="D132" s="177">
        <v>8</v>
      </c>
      <c r="E132" s="177">
        <v>32</v>
      </c>
      <c r="F132" s="177">
        <f t="shared" si="14"/>
        <v>400</v>
      </c>
      <c r="G132" s="177"/>
      <c r="H132" s="177" t="s">
        <v>24</v>
      </c>
      <c r="I132" s="178">
        <f t="shared" si="15"/>
        <v>600</v>
      </c>
      <c r="J132" s="178"/>
      <c r="K132" s="178" t="str">
        <f>K$134</f>
        <v>Desktop/Portable</v>
      </c>
      <c r="L132" s="115">
        <f t="shared" si="16"/>
        <v>0.3810858531853667</v>
      </c>
      <c r="M132" s="115">
        <f t="shared" si="17"/>
        <v>0.6798163282310402</v>
      </c>
      <c r="N132" s="115"/>
      <c r="O132" s="115">
        <f t="shared" si="18"/>
        <v>1.0609021814164068</v>
      </c>
      <c r="P132" s="115">
        <f t="shared" si="11"/>
        <v>0</v>
      </c>
      <c r="Q132" s="115"/>
      <c r="T132" s="5">
        <f t="shared" si="19"/>
        <v>4</v>
      </c>
      <c r="U132" s="5" t="b">
        <f t="shared" si="10"/>
        <v>0</v>
      </c>
    </row>
    <row r="133" spans="1:21" s="5" customFormat="1" ht="15.75">
      <c r="A133" s="5">
        <v>18</v>
      </c>
      <c r="B133" s="176" t="s">
        <v>35</v>
      </c>
      <c r="C133" s="176"/>
      <c r="D133" s="177">
        <v>8</v>
      </c>
      <c r="E133" s="177">
        <v>40</v>
      </c>
      <c r="F133" s="177">
        <f t="shared" si="14"/>
        <v>400</v>
      </c>
      <c r="G133" s="177"/>
      <c r="H133" s="177" t="s">
        <v>24</v>
      </c>
      <c r="I133" s="178">
        <f t="shared" si="15"/>
        <v>600</v>
      </c>
      <c r="J133" s="178"/>
      <c r="K133" s="178" t="str">
        <f>K$134</f>
        <v>Desktop/Portable</v>
      </c>
      <c r="L133" s="115">
        <f t="shared" si="16"/>
        <v>0.3810858531853667</v>
      </c>
      <c r="M133" s="115">
        <f t="shared" si="17"/>
        <v>0.6798163282310402</v>
      </c>
      <c r="N133" s="115"/>
      <c r="O133" s="115">
        <f t="shared" si="18"/>
        <v>1.0609021814164068</v>
      </c>
      <c r="P133" s="115">
        <f t="shared" si="11"/>
        <v>0</v>
      </c>
      <c r="Q133" s="115"/>
      <c r="T133" s="5">
        <f t="shared" si="19"/>
        <v>4</v>
      </c>
      <c r="U133" s="5" t="b">
        <f t="shared" si="10"/>
        <v>0</v>
      </c>
    </row>
    <row r="134" spans="1:21" s="5" customFormat="1" ht="15.75">
      <c r="A134" s="5">
        <v>19</v>
      </c>
      <c r="B134" s="176" t="s">
        <v>34</v>
      </c>
      <c r="C134" s="176"/>
      <c r="D134" s="177">
        <v>8</v>
      </c>
      <c r="E134" s="177">
        <v>48</v>
      </c>
      <c r="F134" s="177">
        <f t="shared" si="14"/>
        <v>400</v>
      </c>
      <c r="G134" s="177"/>
      <c r="H134" s="177" t="s">
        <v>24</v>
      </c>
      <c r="I134" s="178">
        <f t="shared" si="15"/>
        <v>600</v>
      </c>
      <c r="J134" s="178"/>
      <c r="K134" s="178" t="str">
        <f>T$29</f>
        <v>Desktop/Portable</v>
      </c>
      <c r="L134" s="115">
        <f t="shared" si="16"/>
        <v>0.3810858531853667</v>
      </c>
      <c r="M134" s="115">
        <f t="shared" si="17"/>
        <v>0.6798163282310402</v>
      </c>
      <c r="N134" s="115"/>
      <c r="O134" s="115">
        <f t="shared" si="18"/>
        <v>1.0609021814164068</v>
      </c>
      <c r="P134" s="115">
        <f t="shared" si="11"/>
        <v>0</v>
      </c>
      <c r="Q134" s="115"/>
      <c r="T134" s="5">
        <f t="shared" si="19"/>
        <v>4</v>
      </c>
      <c r="U134" s="5" t="b">
        <f t="shared" si="10"/>
        <v>0</v>
      </c>
    </row>
    <row r="135" spans="1:21" s="5" customFormat="1" ht="15.75">
      <c r="A135" s="5">
        <v>20</v>
      </c>
      <c r="B135" s="176" t="s">
        <v>33</v>
      </c>
      <c r="C135" s="176"/>
      <c r="D135" s="177">
        <v>8</v>
      </c>
      <c r="E135" s="177">
        <v>24</v>
      </c>
      <c r="F135" s="177">
        <f t="shared" si="14"/>
        <v>400</v>
      </c>
      <c r="G135" s="177"/>
      <c r="H135" s="177" t="s">
        <v>24</v>
      </c>
      <c r="I135" s="178">
        <f t="shared" si="15"/>
        <v>600</v>
      </c>
      <c r="J135" s="178"/>
      <c r="K135" s="178" t="str">
        <f>K$138</f>
        <v>Rack mount</v>
      </c>
      <c r="L135" s="115">
        <f t="shared" si="16"/>
        <v>0.3810858531853667</v>
      </c>
      <c r="M135" s="115">
        <f t="shared" si="17"/>
        <v>0.6798163282310402</v>
      </c>
      <c r="N135" s="115"/>
      <c r="O135" s="115">
        <f t="shared" si="18"/>
        <v>1.0609021814164068</v>
      </c>
      <c r="P135" s="115">
        <f t="shared" si="11"/>
        <v>0</v>
      </c>
      <c r="Q135" s="115"/>
      <c r="T135" s="5">
        <f t="shared" si="19"/>
        <v>4</v>
      </c>
      <c r="U135" s="5" t="b">
        <f t="shared" si="10"/>
        <v>0</v>
      </c>
    </row>
    <row r="136" spans="1:21" s="5" customFormat="1" ht="15.75">
      <c r="A136" s="5">
        <v>21</v>
      </c>
      <c r="B136" s="176" t="s">
        <v>32</v>
      </c>
      <c r="C136" s="176"/>
      <c r="D136" s="177">
        <v>8</v>
      </c>
      <c r="E136" s="177">
        <v>32</v>
      </c>
      <c r="F136" s="177">
        <f t="shared" si="14"/>
        <v>400</v>
      </c>
      <c r="G136" s="177"/>
      <c r="H136" s="177" t="s">
        <v>24</v>
      </c>
      <c r="I136" s="178">
        <f t="shared" si="15"/>
        <v>600</v>
      </c>
      <c r="J136" s="178"/>
      <c r="K136" s="178" t="str">
        <f>K$138</f>
        <v>Rack mount</v>
      </c>
      <c r="L136" s="115">
        <f t="shared" si="16"/>
        <v>0.3810858531853667</v>
      </c>
      <c r="M136" s="115">
        <f t="shared" si="17"/>
        <v>0.6798163282310402</v>
      </c>
      <c r="N136" s="115"/>
      <c r="O136" s="115">
        <f t="shared" si="18"/>
        <v>1.0609021814164068</v>
      </c>
      <c r="P136" s="115">
        <f t="shared" si="11"/>
        <v>0</v>
      </c>
      <c r="Q136" s="115"/>
      <c r="T136" s="5">
        <f t="shared" si="19"/>
        <v>4</v>
      </c>
      <c r="U136" s="5" t="b">
        <f t="shared" si="10"/>
        <v>0</v>
      </c>
    </row>
    <row r="137" spans="1:21" s="5" customFormat="1" ht="15.75">
      <c r="A137" s="5">
        <v>22</v>
      </c>
      <c r="B137" s="176" t="s">
        <v>31</v>
      </c>
      <c r="C137" s="176"/>
      <c r="D137" s="177">
        <v>8</v>
      </c>
      <c r="E137" s="177">
        <v>40</v>
      </c>
      <c r="F137" s="177">
        <f t="shared" si="14"/>
        <v>400</v>
      </c>
      <c r="G137" s="177"/>
      <c r="H137" s="177" t="s">
        <v>24</v>
      </c>
      <c r="I137" s="178">
        <f t="shared" si="15"/>
        <v>600</v>
      </c>
      <c r="J137" s="178"/>
      <c r="K137" s="178" t="str">
        <f>K$138</f>
        <v>Rack mount</v>
      </c>
      <c r="L137" s="115">
        <f t="shared" si="16"/>
        <v>0.3810858531853667</v>
      </c>
      <c r="M137" s="115">
        <f t="shared" si="17"/>
        <v>0.6798163282310402</v>
      </c>
      <c r="N137" s="115"/>
      <c r="O137" s="115">
        <f t="shared" si="18"/>
        <v>1.0609021814164068</v>
      </c>
      <c r="P137" s="115">
        <f t="shared" si="11"/>
        <v>0</v>
      </c>
      <c r="Q137" s="115"/>
      <c r="T137" s="5">
        <f t="shared" si="19"/>
        <v>4</v>
      </c>
      <c r="U137" s="5" t="b">
        <f t="shared" si="10"/>
        <v>0</v>
      </c>
    </row>
    <row r="138" spans="1:21" s="5" customFormat="1" ht="15.75">
      <c r="A138" s="5">
        <v>23</v>
      </c>
      <c r="B138" s="176" t="s">
        <v>30</v>
      </c>
      <c r="C138" s="176"/>
      <c r="D138" s="177">
        <v>8</v>
      </c>
      <c r="E138" s="177">
        <v>48</v>
      </c>
      <c r="F138" s="177">
        <v>400</v>
      </c>
      <c r="G138" s="177"/>
      <c r="H138" s="177" t="s">
        <v>24</v>
      </c>
      <c r="I138" s="178">
        <v>600</v>
      </c>
      <c r="J138" s="178"/>
      <c r="K138" s="178" t="str">
        <f>U$29</f>
        <v>Rack mount</v>
      </c>
      <c r="L138" s="115">
        <f t="shared" si="16"/>
        <v>0.3810858531853667</v>
      </c>
      <c r="M138" s="115">
        <f t="shared" si="17"/>
        <v>0.6798163282310402</v>
      </c>
      <c r="N138" s="115"/>
      <c r="O138" s="115">
        <f t="shared" si="18"/>
        <v>1.0609021814164068</v>
      </c>
      <c r="P138" s="115">
        <f t="shared" si="11"/>
        <v>0</v>
      </c>
      <c r="Q138" s="115"/>
      <c r="T138" s="5">
        <f t="shared" si="19"/>
        <v>4</v>
      </c>
      <c r="U138" s="5" t="b">
        <f t="shared" si="10"/>
        <v>0</v>
      </c>
    </row>
    <row r="139" spans="1:21" s="5" customFormat="1" ht="15.75">
      <c r="A139" s="5">
        <v>24</v>
      </c>
      <c r="B139" s="176" t="s">
        <v>29</v>
      </c>
      <c r="C139" s="176"/>
      <c r="D139" s="177">
        <v>12</v>
      </c>
      <c r="E139" s="177">
        <v>40</v>
      </c>
      <c r="F139" s="177">
        <f>F$142</f>
        <v>450</v>
      </c>
      <c r="G139" s="177"/>
      <c r="H139" s="177" t="s">
        <v>24</v>
      </c>
      <c r="I139" s="178">
        <f>I$142</f>
        <v>600</v>
      </c>
      <c r="J139" s="178"/>
      <c r="K139" s="178" t="str">
        <f>K$142</f>
        <v>Rack mount</v>
      </c>
      <c r="L139" s="115">
        <f t="shared" si="16"/>
        <v>0.3387429806092148</v>
      </c>
      <c r="M139" s="115">
        <f t="shared" si="17"/>
        <v>0.6798163282310402</v>
      </c>
      <c r="N139" s="115"/>
      <c r="O139" s="115">
        <f t="shared" si="18"/>
        <v>1.018559308840255</v>
      </c>
      <c r="P139" s="115">
        <f t="shared" si="11"/>
        <v>0</v>
      </c>
      <c r="Q139" s="115"/>
      <c r="T139" s="5">
        <f t="shared" si="19"/>
        <v>4</v>
      </c>
      <c r="U139" s="5" t="b">
        <f t="shared" si="10"/>
        <v>0</v>
      </c>
    </row>
    <row r="140" spans="1:21" s="5" customFormat="1" ht="16.5">
      <c r="A140" s="5">
        <v>25</v>
      </c>
      <c r="B140" s="176" t="s">
        <v>28</v>
      </c>
      <c r="C140" s="176"/>
      <c r="D140" s="177">
        <v>12</v>
      </c>
      <c r="E140" s="177">
        <v>48</v>
      </c>
      <c r="F140" s="177">
        <f>F$142</f>
        <v>450</v>
      </c>
      <c r="G140" s="177"/>
      <c r="H140" s="177" t="s">
        <v>24</v>
      </c>
      <c r="I140" s="178">
        <f>I$142</f>
        <v>600</v>
      </c>
      <c r="J140" s="178"/>
      <c r="K140" s="178" t="str">
        <f>K$142</f>
        <v>Rack mount</v>
      </c>
      <c r="L140" s="115">
        <f t="shared" si="16"/>
        <v>0.3387429806092148</v>
      </c>
      <c r="M140" s="115">
        <f t="shared" si="17"/>
        <v>0.6798163282310402</v>
      </c>
      <c r="N140" s="115"/>
      <c r="O140" s="115">
        <f t="shared" si="18"/>
        <v>1.018559308840255</v>
      </c>
      <c r="P140" s="115">
        <f t="shared" si="11"/>
        <v>0</v>
      </c>
      <c r="Q140" s="115"/>
      <c r="R140" s="5" t="e">
        <f>INDEX(B119:B124,MATCH(LARGE(P119:P124,COUNTIF(P119:P124,"&gt;0")),P119:P124,0),)</f>
        <v>#NUM!</v>
      </c>
      <c r="S140" s="179" t="s">
        <v>215</v>
      </c>
      <c r="T140" s="5">
        <f t="shared" si="19"/>
        <v>4</v>
      </c>
      <c r="U140" s="5" t="b">
        <f t="shared" si="10"/>
        <v>0</v>
      </c>
    </row>
    <row r="141" spans="1:21" s="5" customFormat="1" ht="15.75">
      <c r="A141" s="5">
        <v>26</v>
      </c>
      <c r="B141" s="176" t="s">
        <v>51</v>
      </c>
      <c r="C141" s="176"/>
      <c r="D141" s="177">
        <v>12</v>
      </c>
      <c r="E141" s="177">
        <v>56</v>
      </c>
      <c r="F141" s="177">
        <f>F$142</f>
        <v>450</v>
      </c>
      <c r="G141" s="177"/>
      <c r="H141" s="177" t="s">
        <v>24</v>
      </c>
      <c r="I141" s="178">
        <f>I$142</f>
        <v>600</v>
      </c>
      <c r="J141" s="178"/>
      <c r="K141" s="178" t="str">
        <f>K$142</f>
        <v>Rack mount</v>
      </c>
      <c r="L141" s="115">
        <f t="shared" si="16"/>
        <v>0.3387429806092148</v>
      </c>
      <c r="M141" s="115">
        <f t="shared" si="17"/>
        <v>0.6798163282310402</v>
      </c>
      <c r="N141" s="115"/>
      <c r="O141" s="115">
        <f t="shared" si="18"/>
        <v>1.018559308840255</v>
      </c>
      <c r="P141" s="115">
        <f t="shared" si="11"/>
        <v>0</v>
      </c>
      <c r="Q141" s="115"/>
      <c r="R141" s="5" t="str">
        <f>INDEX(B119:B142,MATCH(LARGE(P119:P142,COUNTIF(P119:P142,"&gt;0")),P119:P142,0),)</f>
        <v>VS-6120 Pro+</v>
      </c>
      <c r="T141" s="5">
        <f>T$142</f>
        <v>4</v>
      </c>
      <c r="U141" s="5" t="b">
        <f t="shared" si="10"/>
        <v>0</v>
      </c>
    </row>
    <row r="142" spans="1:21" s="5" customFormat="1" ht="15.75">
      <c r="A142" s="5">
        <v>27</v>
      </c>
      <c r="B142" s="176" t="s">
        <v>48</v>
      </c>
      <c r="C142" s="176"/>
      <c r="D142" s="177">
        <v>12</v>
      </c>
      <c r="E142" s="177">
        <v>64</v>
      </c>
      <c r="F142" s="177">
        <v>450</v>
      </c>
      <c r="G142" s="177"/>
      <c r="H142" s="177" t="s">
        <v>24</v>
      </c>
      <c r="I142" s="178">
        <f>I138</f>
        <v>600</v>
      </c>
      <c r="J142" s="178"/>
      <c r="K142" s="178" t="str">
        <f>U$29</f>
        <v>Rack mount</v>
      </c>
      <c r="L142" s="115">
        <f t="shared" si="16"/>
        <v>0.3387429806092148</v>
      </c>
      <c r="M142" s="115">
        <f t="shared" si="17"/>
        <v>0.6798163282310402</v>
      </c>
      <c r="N142" s="115"/>
      <c r="O142" s="115">
        <f t="shared" si="18"/>
        <v>1.018559308840255</v>
      </c>
      <c r="P142" s="115">
        <f t="shared" si="11"/>
        <v>0</v>
      </c>
      <c r="Q142" s="115"/>
      <c r="R142" s="5" t="str">
        <f>INDEX(B116:B142,MATCH(LARGE(P116:P142,COUNTIF(P116:P142,"&gt;0")),P116:P142,0),)</f>
        <v>VS-6120 Pro+</v>
      </c>
      <c r="T142" s="5">
        <v>4</v>
      </c>
      <c r="U142" s="5" t="b">
        <f t="shared" si="10"/>
        <v>0</v>
      </c>
    </row>
    <row r="143" spans="1:19" s="5" customFormat="1" ht="15.75">
      <c r="A143" s="5">
        <v>28</v>
      </c>
      <c r="P143" s="30"/>
      <c r="Q143" s="30"/>
      <c r="R143" s="293" t="str">
        <f>IF(H115="Yes",IF(O119&gt;O131,R141,_xlfn.IFERROR(R140,R141)),R142)</f>
        <v>VS-6120 Pro+</v>
      </c>
      <c r="S143" s="293"/>
    </row>
    <row r="144" spans="1:17" s="5" customFormat="1" ht="15.75">
      <c r="A144" s="5">
        <v>29</v>
      </c>
      <c r="P144" s="30"/>
      <c r="Q144" s="30"/>
    </row>
    <row r="145" spans="1:17" s="5" customFormat="1" ht="15.75">
      <c r="A145" s="5">
        <v>30</v>
      </c>
      <c r="P145" s="30"/>
      <c r="Q145" s="30"/>
    </row>
    <row r="146" spans="2:21" s="5" customFormat="1" ht="15.75">
      <c r="B146" s="5">
        <v>1</v>
      </c>
      <c r="C146" s="5">
        <v>1</v>
      </c>
      <c r="D146" s="5">
        <v>1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L146" s="5">
        <v>1</v>
      </c>
      <c r="M146" s="5">
        <v>1</v>
      </c>
      <c r="N146" s="5">
        <v>1</v>
      </c>
      <c r="O146" s="5">
        <v>1</v>
      </c>
      <c r="P146" s="5">
        <v>1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</row>
    <row r="147" spans="16:17" s="5" customFormat="1" ht="15.75">
      <c r="P147" s="30"/>
      <c r="Q147" s="30"/>
    </row>
    <row r="148" spans="16:17" s="5" customFormat="1" ht="15.75">
      <c r="P148" s="30"/>
      <c r="Q148" s="30"/>
    </row>
    <row r="149" spans="16:17" s="5" customFormat="1" ht="15.75">
      <c r="P149" s="30"/>
      <c r="Q149" s="30"/>
    </row>
    <row r="150" spans="16:17" s="5" customFormat="1" ht="15.75">
      <c r="P150" s="30"/>
      <c r="Q150" s="30"/>
    </row>
    <row r="151" spans="16:17" s="5" customFormat="1" ht="15.75">
      <c r="P151" s="30"/>
      <c r="Q151" s="30"/>
    </row>
    <row r="152" spans="16:17" s="5" customFormat="1" ht="15.75">
      <c r="P152" s="30"/>
      <c r="Q152" s="30"/>
    </row>
    <row r="153" spans="16:17" s="5" customFormat="1" ht="15.75">
      <c r="P153" s="30"/>
      <c r="Q153" s="30"/>
    </row>
    <row r="154" spans="16:17" s="5" customFormat="1" ht="15.75">
      <c r="P154" s="30"/>
      <c r="Q154" s="30"/>
    </row>
    <row r="155" spans="16:17" s="5" customFormat="1" ht="15.75">
      <c r="P155" s="30"/>
      <c r="Q155" s="30"/>
    </row>
    <row r="156" spans="16:17" s="5" customFormat="1" ht="15.75">
      <c r="P156" s="30"/>
      <c r="Q156" s="30"/>
    </row>
    <row r="157" spans="16:17" s="5" customFormat="1" ht="15.75">
      <c r="P157" s="30"/>
      <c r="Q157" s="30"/>
    </row>
    <row r="158" spans="16:17" s="5" customFormat="1" ht="15.75">
      <c r="P158" s="30"/>
      <c r="Q158" s="30"/>
    </row>
    <row r="159" spans="16:17" s="5" customFormat="1" ht="15.75">
      <c r="P159" s="30"/>
      <c r="Q159" s="30"/>
    </row>
    <row r="160" spans="16:17" s="5" customFormat="1" ht="15.75">
      <c r="P160" s="30"/>
      <c r="Q160" s="30"/>
    </row>
    <row r="161" spans="16:17" s="5" customFormat="1" ht="15.75">
      <c r="P161" s="30"/>
      <c r="Q161" s="30"/>
    </row>
    <row r="162" spans="16:17" s="5" customFormat="1" ht="15.75">
      <c r="P162" s="30"/>
      <c r="Q162" s="30"/>
    </row>
    <row r="163" spans="16:17" s="5" customFormat="1" ht="15.75">
      <c r="P163" s="30"/>
      <c r="Q163" s="30"/>
    </row>
    <row r="164" spans="16:17" s="5" customFormat="1" ht="15.75">
      <c r="P164" s="30"/>
      <c r="Q164" s="30"/>
    </row>
    <row r="165" spans="16:17" s="5" customFormat="1" ht="15.75">
      <c r="P165" s="30"/>
      <c r="Q165" s="30"/>
    </row>
    <row r="166" spans="16:17" s="5" customFormat="1" ht="15.75">
      <c r="P166" s="30"/>
      <c r="Q166" s="30"/>
    </row>
    <row r="167" spans="16:17" s="5" customFormat="1" ht="15.75">
      <c r="P167" s="30"/>
      <c r="Q167" s="30"/>
    </row>
    <row r="168" spans="16:17" s="5" customFormat="1" ht="15.75">
      <c r="P168" s="30"/>
      <c r="Q168" s="30"/>
    </row>
    <row r="169" spans="16:17" s="5" customFormat="1" ht="15.75">
      <c r="P169" s="30"/>
      <c r="Q169" s="30"/>
    </row>
    <row r="170" spans="16:17" s="5" customFormat="1" ht="15.75">
      <c r="P170" s="30"/>
      <c r="Q170" s="30"/>
    </row>
    <row r="171" spans="16:17" s="5" customFormat="1" ht="15.75">
      <c r="P171" s="30"/>
      <c r="Q171" s="30"/>
    </row>
    <row r="172" spans="16:17" s="5" customFormat="1" ht="15.75">
      <c r="P172" s="30"/>
      <c r="Q172" s="30"/>
    </row>
    <row r="173" spans="16:17" s="5" customFormat="1" ht="15.75">
      <c r="P173" s="30"/>
      <c r="Q173" s="30"/>
    </row>
    <row r="174" spans="16:17" s="5" customFormat="1" ht="15.75">
      <c r="P174" s="30"/>
      <c r="Q174" s="30"/>
    </row>
    <row r="175" spans="16:17" s="5" customFormat="1" ht="15.75">
      <c r="P175" s="30"/>
      <c r="Q175" s="30"/>
    </row>
    <row r="176" spans="16:17" s="5" customFormat="1" ht="15.75">
      <c r="P176" s="30"/>
      <c r="Q176" s="30"/>
    </row>
    <row r="177" spans="16:17" s="5" customFormat="1" ht="15.75">
      <c r="P177" s="30"/>
      <c r="Q177" s="30"/>
    </row>
    <row r="178" spans="16:17" s="5" customFormat="1" ht="15.75">
      <c r="P178" s="30"/>
      <c r="Q178" s="30"/>
    </row>
    <row r="179" spans="16:17" s="5" customFormat="1" ht="15.75">
      <c r="P179" s="30"/>
      <c r="Q179" s="30"/>
    </row>
    <row r="180" spans="16:17" s="5" customFormat="1" ht="15.75">
      <c r="P180" s="30"/>
      <c r="Q180" s="30"/>
    </row>
    <row r="181" spans="16:17" s="5" customFormat="1" ht="15.75">
      <c r="P181" s="30"/>
      <c r="Q181" s="30"/>
    </row>
    <row r="182" spans="16:17" s="5" customFormat="1" ht="15.75">
      <c r="P182" s="30"/>
      <c r="Q182" s="30"/>
    </row>
    <row r="183" spans="16:17" s="5" customFormat="1" ht="15.75">
      <c r="P183" s="30"/>
      <c r="Q183" s="30"/>
    </row>
    <row r="184" spans="16:17" s="5" customFormat="1" ht="15.75">
      <c r="P184" s="30"/>
      <c r="Q184" s="30"/>
    </row>
    <row r="185" spans="16:17" s="5" customFormat="1" ht="15.75">
      <c r="P185" s="30"/>
      <c r="Q185" s="30"/>
    </row>
    <row r="186" spans="16:17" s="5" customFormat="1" ht="15.75">
      <c r="P186" s="30"/>
      <c r="Q186" s="30"/>
    </row>
    <row r="187" spans="16:17" s="5" customFormat="1" ht="15.75">
      <c r="P187" s="30"/>
      <c r="Q187" s="30"/>
    </row>
    <row r="188" spans="16:17" s="5" customFormat="1" ht="15.75">
      <c r="P188" s="30"/>
      <c r="Q188" s="30"/>
    </row>
    <row r="189" spans="16:17" s="5" customFormat="1" ht="15.75">
      <c r="P189" s="30"/>
      <c r="Q189" s="30"/>
    </row>
    <row r="190" spans="16:17" s="5" customFormat="1" ht="15.75">
      <c r="P190" s="30"/>
      <c r="Q190" s="30"/>
    </row>
    <row r="191" spans="16:17" s="5" customFormat="1" ht="15.75">
      <c r="P191" s="30"/>
      <c r="Q191" s="30"/>
    </row>
    <row r="192" spans="16:17" s="5" customFormat="1" ht="15.75">
      <c r="P192" s="30"/>
      <c r="Q192" s="30"/>
    </row>
    <row r="193" spans="16:17" s="5" customFormat="1" ht="15.75">
      <c r="P193" s="30"/>
      <c r="Q193" s="30"/>
    </row>
    <row r="194" spans="16:17" s="5" customFormat="1" ht="15.75">
      <c r="P194" s="30"/>
      <c r="Q194" s="30"/>
    </row>
    <row r="195" spans="16:17" s="5" customFormat="1" ht="15.75">
      <c r="P195" s="30"/>
      <c r="Q195" s="30"/>
    </row>
    <row r="196" spans="16:17" s="5" customFormat="1" ht="15.75">
      <c r="P196" s="30"/>
      <c r="Q196" s="30"/>
    </row>
    <row r="197" spans="16:17" s="5" customFormat="1" ht="15.75">
      <c r="P197" s="30"/>
      <c r="Q197" s="30"/>
    </row>
    <row r="198" spans="16:17" s="5" customFormat="1" ht="15.75">
      <c r="P198" s="30"/>
      <c r="Q198" s="30"/>
    </row>
    <row r="199" spans="16:17" s="5" customFormat="1" ht="15.75">
      <c r="P199" s="30"/>
      <c r="Q199" s="30"/>
    </row>
    <row r="200" spans="16:17" s="5" customFormat="1" ht="15.75">
      <c r="P200" s="30"/>
      <c r="Q200" s="30"/>
    </row>
    <row r="201" spans="16:17" s="5" customFormat="1" ht="15.75">
      <c r="P201" s="30"/>
      <c r="Q201" s="30"/>
    </row>
    <row r="202" spans="16:17" s="5" customFormat="1" ht="15.75">
      <c r="P202" s="30"/>
      <c r="Q202" s="30"/>
    </row>
    <row r="203" spans="16:17" s="5" customFormat="1" ht="15.75">
      <c r="P203" s="30"/>
      <c r="Q203" s="30"/>
    </row>
    <row r="204" spans="16:17" s="5" customFormat="1" ht="15.75">
      <c r="P204" s="30"/>
      <c r="Q204" s="30"/>
    </row>
    <row r="205" spans="16:17" s="5" customFormat="1" ht="15.75">
      <c r="P205" s="30"/>
      <c r="Q205" s="30"/>
    </row>
    <row r="206" spans="16:17" s="5" customFormat="1" ht="15.75">
      <c r="P206" s="30"/>
      <c r="Q206" s="30"/>
    </row>
    <row r="207" spans="16:17" s="5" customFormat="1" ht="15.75">
      <c r="P207" s="30"/>
      <c r="Q207" s="30"/>
    </row>
    <row r="208" spans="16:17" s="5" customFormat="1" ht="15.75">
      <c r="P208" s="30"/>
      <c r="Q208" s="30"/>
    </row>
    <row r="209" spans="16:17" s="5" customFormat="1" ht="15.75">
      <c r="P209" s="30"/>
      <c r="Q209" s="30"/>
    </row>
    <row r="210" spans="16:17" s="5" customFormat="1" ht="15.75">
      <c r="P210" s="30"/>
      <c r="Q210" s="30"/>
    </row>
    <row r="211" spans="16:17" s="5" customFormat="1" ht="15.75">
      <c r="P211" s="30"/>
      <c r="Q211" s="30"/>
    </row>
    <row r="212" spans="16:17" s="5" customFormat="1" ht="15.75">
      <c r="P212" s="30"/>
      <c r="Q212" s="30"/>
    </row>
    <row r="213" spans="16:17" s="5" customFormat="1" ht="15.75">
      <c r="P213" s="30"/>
      <c r="Q213" s="30"/>
    </row>
    <row r="214" spans="16:17" s="5" customFormat="1" ht="15.75">
      <c r="P214" s="30"/>
      <c r="Q214" s="30"/>
    </row>
    <row r="215" spans="16:17" s="5" customFormat="1" ht="15.75">
      <c r="P215" s="30"/>
      <c r="Q215" s="30"/>
    </row>
    <row r="216" spans="16:17" s="5" customFormat="1" ht="15.75">
      <c r="P216" s="30"/>
      <c r="Q216" s="30"/>
    </row>
    <row r="217" spans="16:17" s="5" customFormat="1" ht="15.75">
      <c r="P217" s="30"/>
      <c r="Q217" s="30"/>
    </row>
    <row r="218" spans="16:17" s="5" customFormat="1" ht="15.75">
      <c r="P218" s="30"/>
      <c r="Q218" s="30"/>
    </row>
    <row r="219" spans="16:17" s="5" customFormat="1" ht="15.75">
      <c r="P219" s="30"/>
      <c r="Q219" s="30"/>
    </row>
    <row r="220" spans="16:17" s="5" customFormat="1" ht="15.75">
      <c r="P220" s="30"/>
      <c r="Q220" s="30"/>
    </row>
    <row r="221" spans="16:17" s="5" customFormat="1" ht="15.75">
      <c r="P221" s="30"/>
      <c r="Q221" s="30"/>
    </row>
    <row r="222" spans="16:17" s="5" customFormat="1" ht="15.75">
      <c r="P222" s="30"/>
      <c r="Q222" s="30"/>
    </row>
    <row r="223" spans="16:17" s="5" customFormat="1" ht="15.75">
      <c r="P223" s="30"/>
      <c r="Q223" s="30"/>
    </row>
    <row r="224" spans="16:17" s="5" customFormat="1" ht="15.75">
      <c r="P224" s="30"/>
      <c r="Q224" s="30"/>
    </row>
    <row r="225" spans="16:17" s="5" customFormat="1" ht="15.75">
      <c r="P225" s="30"/>
      <c r="Q225" s="30"/>
    </row>
    <row r="226" spans="16:17" s="5" customFormat="1" ht="15.75">
      <c r="P226" s="30"/>
      <c r="Q226" s="30"/>
    </row>
    <row r="227" spans="16:17" s="5" customFormat="1" ht="15.75">
      <c r="P227" s="30"/>
      <c r="Q227" s="30"/>
    </row>
    <row r="228" spans="16:17" s="5" customFormat="1" ht="15.75">
      <c r="P228" s="30"/>
      <c r="Q228" s="30"/>
    </row>
    <row r="229" spans="16:17" s="5" customFormat="1" ht="15.75">
      <c r="P229" s="30"/>
      <c r="Q229" s="30"/>
    </row>
    <row r="230" spans="16:17" s="5" customFormat="1" ht="15.75">
      <c r="P230" s="30"/>
      <c r="Q230" s="30"/>
    </row>
    <row r="231" spans="16:17" s="5" customFormat="1" ht="15.75">
      <c r="P231" s="30"/>
      <c r="Q231" s="30"/>
    </row>
    <row r="232" spans="16:17" s="5" customFormat="1" ht="15.75">
      <c r="P232" s="30"/>
      <c r="Q232" s="30"/>
    </row>
    <row r="233" spans="16:17" s="5" customFormat="1" ht="15.75">
      <c r="P233" s="30"/>
      <c r="Q233" s="30"/>
    </row>
    <row r="234" spans="16:17" s="5" customFormat="1" ht="15.75">
      <c r="P234" s="30"/>
      <c r="Q234" s="30"/>
    </row>
    <row r="235" spans="16:17" s="5" customFormat="1" ht="15.75">
      <c r="P235" s="30"/>
      <c r="Q235" s="30"/>
    </row>
    <row r="236" spans="16:17" s="5" customFormat="1" ht="15.75">
      <c r="P236" s="30"/>
      <c r="Q236" s="30"/>
    </row>
    <row r="237" spans="16:17" s="5" customFormat="1" ht="15.75">
      <c r="P237" s="30"/>
      <c r="Q237" s="30"/>
    </row>
    <row r="238" spans="16:17" s="5" customFormat="1" ht="15.75">
      <c r="P238" s="30"/>
      <c r="Q238" s="30"/>
    </row>
    <row r="239" spans="16:17" s="5" customFormat="1" ht="15.75">
      <c r="P239" s="30"/>
      <c r="Q239" s="30"/>
    </row>
    <row r="240" spans="16:17" s="5" customFormat="1" ht="15.75">
      <c r="P240" s="30"/>
      <c r="Q240" s="30"/>
    </row>
    <row r="241" spans="16:17" s="5" customFormat="1" ht="15.75">
      <c r="P241" s="30"/>
      <c r="Q241" s="30"/>
    </row>
    <row r="242" spans="16:17" s="5" customFormat="1" ht="15.75">
      <c r="P242" s="30"/>
      <c r="Q242" s="30"/>
    </row>
    <row r="243" spans="16:17" s="5" customFormat="1" ht="15.75">
      <c r="P243" s="30"/>
      <c r="Q243" s="30"/>
    </row>
    <row r="244" spans="16:17" s="5" customFormat="1" ht="15.75">
      <c r="P244" s="30"/>
      <c r="Q244" s="30"/>
    </row>
    <row r="245" spans="16:17" s="5" customFormat="1" ht="15.75">
      <c r="P245" s="30"/>
      <c r="Q245" s="30"/>
    </row>
    <row r="246" spans="16:17" s="5" customFormat="1" ht="15.75">
      <c r="P246" s="30"/>
      <c r="Q246" s="30"/>
    </row>
    <row r="247" spans="16:17" s="5" customFormat="1" ht="15.75">
      <c r="P247" s="30"/>
      <c r="Q247" s="30"/>
    </row>
    <row r="248" spans="16:17" s="5" customFormat="1" ht="15.75">
      <c r="P248" s="30"/>
      <c r="Q248" s="30"/>
    </row>
    <row r="249" spans="16:17" s="5" customFormat="1" ht="15.75">
      <c r="P249" s="30"/>
      <c r="Q249" s="30"/>
    </row>
    <row r="250" spans="16:17" s="5" customFormat="1" ht="15.75">
      <c r="P250" s="30"/>
      <c r="Q250" s="30"/>
    </row>
    <row r="251" spans="16:17" s="5" customFormat="1" ht="15.75">
      <c r="P251" s="30"/>
      <c r="Q251" s="30"/>
    </row>
    <row r="252" spans="16:17" s="5" customFormat="1" ht="15.75">
      <c r="P252" s="30"/>
      <c r="Q252" s="30"/>
    </row>
    <row r="253" spans="16:17" s="5" customFormat="1" ht="15.75">
      <c r="P253" s="30"/>
      <c r="Q253" s="30"/>
    </row>
    <row r="254" spans="16:17" s="5" customFormat="1" ht="15.75">
      <c r="P254" s="30"/>
      <c r="Q254" s="30"/>
    </row>
    <row r="255" spans="16:17" s="5" customFormat="1" ht="15.75">
      <c r="P255" s="30"/>
      <c r="Q255" s="30"/>
    </row>
    <row r="256" spans="16:17" s="5" customFormat="1" ht="15.75">
      <c r="P256" s="30"/>
      <c r="Q256" s="30"/>
    </row>
    <row r="257" spans="16:17" s="5" customFormat="1" ht="15.75">
      <c r="P257" s="30"/>
      <c r="Q257" s="30"/>
    </row>
    <row r="258" spans="16:17" s="5" customFormat="1" ht="15.75">
      <c r="P258" s="30"/>
      <c r="Q258" s="30"/>
    </row>
    <row r="259" spans="16:17" s="5" customFormat="1" ht="15.75">
      <c r="P259" s="30"/>
      <c r="Q259" s="30"/>
    </row>
    <row r="260" spans="16:17" s="5" customFormat="1" ht="15.75">
      <c r="P260" s="30"/>
      <c r="Q260" s="30"/>
    </row>
    <row r="261" spans="16:17" s="5" customFormat="1" ht="15.75">
      <c r="P261" s="30"/>
      <c r="Q261" s="30"/>
    </row>
    <row r="262" spans="16:39" s="5" customFormat="1" ht="15.75">
      <c r="P262" s="30"/>
      <c r="Q262" s="30"/>
      <c r="AI262" s="1"/>
      <c r="AJ262" s="1"/>
      <c r="AK262" s="1"/>
      <c r="AL262" s="1"/>
      <c r="AM262" s="1"/>
    </row>
    <row r="263" spans="16:39" s="5" customFormat="1" ht="15.75">
      <c r="P263" s="30"/>
      <c r="Q263" s="30"/>
      <c r="AI263" s="1"/>
      <c r="AJ263" s="1"/>
      <c r="AK263" s="1"/>
      <c r="AL263" s="1"/>
      <c r="AM263" s="1"/>
    </row>
    <row r="266" spans="16:39" s="5" customFormat="1" ht="15.75">
      <c r="P266" s="30"/>
      <c r="Q266" s="30"/>
      <c r="AI266" s="1"/>
      <c r="AJ266" s="1"/>
      <c r="AK266" s="1"/>
      <c r="AL266" s="1"/>
      <c r="AM266" s="1"/>
    </row>
    <row r="267" spans="16:39" s="5" customFormat="1" ht="15.75">
      <c r="P267" s="30"/>
      <c r="Q267" s="30"/>
      <c r="AI267" s="1"/>
      <c r="AJ267" s="1"/>
      <c r="AK267" s="1"/>
      <c r="AL267" s="1"/>
      <c r="AM267" s="1"/>
    </row>
    <row r="268" spans="16:39" s="5" customFormat="1" ht="15.75">
      <c r="P268" s="30"/>
      <c r="Q268" s="30"/>
      <c r="AI268" s="1"/>
      <c r="AJ268" s="1"/>
      <c r="AK268" s="1"/>
      <c r="AL268" s="1"/>
      <c r="AM268" s="1"/>
    </row>
    <row r="269" spans="16:39" s="5" customFormat="1" ht="15.75">
      <c r="P269" s="30"/>
      <c r="Q269" s="30"/>
      <c r="AI269" s="1"/>
      <c r="AJ269" s="1"/>
      <c r="AK269" s="1"/>
      <c r="AL269" s="1"/>
      <c r="AM269" s="1"/>
    </row>
    <row r="270" spans="16:39" s="5" customFormat="1" ht="15.75">
      <c r="P270" s="30"/>
      <c r="Q270" s="30"/>
      <c r="AI270" s="1"/>
      <c r="AJ270" s="1"/>
      <c r="AK270" s="1"/>
      <c r="AL270" s="1"/>
      <c r="AM270" s="1"/>
    </row>
    <row r="271" spans="16:39" s="5" customFormat="1" ht="15.75">
      <c r="P271" s="30"/>
      <c r="Q271" s="30"/>
      <c r="AI271" s="1"/>
      <c r="AJ271" s="1"/>
      <c r="AK271" s="1"/>
      <c r="AL271" s="1"/>
      <c r="AM271" s="1"/>
    </row>
  </sheetData>
  <sheetProtection password="D83E" sheet="1"/>
  <mergeCells count="239">
    <mergeCell ref="F96:H96"/>
    <mergeCell ref="F97:H97"/>
    <mergeCell ref="I23:J23"/>
    <mergeCell ref="C22:D22"/>
    <mergeCell ref="I22:J22"/>
    <mergeCell ref="G78:L78"/>
    <mergeCell ref="F72:G72"/>
    <mergeCell ref="I72:J72"/>
    <mergeCell ref="C29:D29"/>
    <mergeCell ref="G29:H29"/>
    <mergeCell ref="L66:M66"/>
    <mergeCell ref="F67:G67"/>
    <mergeCell ref="C21:D21"/>
    <mergeCell ref="F21:G21"/>
    <mergeCell ref="I21:J21"/>
    <mergeCell ref="F23:G23"/>
    <mergeCell ref="F24:G24"/>
    <mergeCell ref="C84:D84"/>
    <mergeCell ref="F84:G84"/>
    <mergeCell ref="F83:G83"/>
    <mergeCell ref="I73:J73"/>
    <mergeCell ref="F74:G74"/>
    <mergeCell ref="C91:D91"/>
    <mergeCell ref="C95:D95"/>
    <mergeCell ref="C92:D92"/>
    <mergeCell ref="B86:E86"/>
    <mergeCell ref="C100:D100"/>
    <mergeCell ref="C101:D101"/>
    <mergeCell ref="C98:D98"/>
    <mergeCell ref="C99:D99"/>
    <mergeCell ref="C97:D97"/>
    <mergeCell ref="B94:H94"/>
    <mergeCell ref="E99:G99"/>
    <mergeCell ref="E100:G100"/>
    <mergeCell ref="C96:D96"/>
    <mergeCell ref="E101:G101"/>
    <mergeCell ref="I81:J81"/>
    <mergeCell ref="B80:N80"/>
    <mergeCell ref="L81:M81"/>
    <mergeCell ref="L82:M82"/>
    <mergeCell ref="L83:M83"/>
    <mergeCell ref="C83:D83"/>
    <mergeCell ref="U34:U36"/>
    <mergeCell ref="C53:D53"/>
    <mergeCell ref="F53:G53"/>
    <mergeCell ref="C82:D82"/>
    <mergeCell ref="F82:G82"/>
    <mergeCell ref="I82:J82"/>
    <mergeCell ref="B78:E78"/>
    <mergeCell ref="C75:D75"/>
    <mergeCell ref="F75:G75"/>
    <mergeCell ref="B77:P77"/>
    <mergeCell ref="I67:J67"/>
    <mergeCell ref="I74:J74"/>
    <mergeCell ref="L67:M67"/>
    <mergeCell ref="L68:M68"/>
    <mergeCell ref="L69:M69"/>
    <mergeCell ref="F58:G58"/>
    <mergeCell ref="L60:M60"/>
    <mergeCell ref="F57:G57"/>
    <mergeCell ref="C90:D90"/>
    <mergeCell ref="B89:H89"/>
    <mergeCell ref="C73:D73"/>
    <mergeCell ref="C69:D69"/>
    <mergeCell ref="F69:G69"/>
    <mergeCell ref="F73:G73"/>
    <mergeCell ref="C74:D74"/>
    <mergeCell ref="F66:G66"/>
    <mergeCell ref="F59:G59"/>
    <mergeCell ref="G30:H30"/>
    <mergeCell ref="F40:G40"/>
    <mergeCell ref="I40:J40"/>
    <mergeCell ref="C44:D44"/>
    <mergeCell ref="F45:G45"/>
    <mergeCell ref="F44:G44"/>
    <mergeCell ref="C45:D45"/>
    <mergeCell ref="E36:F36"/>
    <mergeCell ref="H36:I36"/>
    <mergeCell ref="F43:G43"/>
    <mergeCell ref="C17:D17"/>
    <mergeCell ref="C18:D18"/>
    <mergeCell ref="C61:D61"/>
    <mergeCell ref="C20:D20"/>
    <mergeCell ref="C41:D41"/>
    <mergeCell ref="C42:D42"/>
    <mergeCell ref="C43:D43"/>
    <mergeCell ref="C30:D30"/>
    <mergeCell ref="B47:E47"/>
    <mergeCell ref="C58:D58"/>
    <mergeCell ref="F19:G19"/>
    <mergeCell ref="C19:D19"/>
    <mergeCell ref="F13:G13"/>
    <mergeCell ref="F14:G14"/>
    <mergeCell ref="H34:I34"/>
    <mergeCell ref="E34:F34"/>
    <mergeCell ref="F15:G15"/>
    <mergeCell ref="F16:G16"/>
    <mergeCell ref="F17:G17"/>
    <mergeCell ref="I13:J13"/>
    <mergeCell ref="I19:J19"/>
    <mergeCell ref="R143:S143"/>
    <mergeCell ref="I60:J60"/>
    <mergeCell ref="I17:J17"/>
    <mergeCell ref="I18:J18"/>
    <mergeCell ref="I20:J20"/>
    <mergeCell ref="I59:J59"/>
    <mergeCell ref="L17:M17"/>
    <mergeCell ref="O17:P17"/>
    <mergeCell ref="L18:M18"/>
    <mergeCell ref="F18:G18"/>
    <mergeCell ref="F20:G20"/>
    <mergeCell ref="F22:G22"/>
    <mergeCell ref="I43:J43"/>
    <mergeCell ref="C52:D52"/>
    <mergeCell ref="I41:J41"/>
    <mergeCell ref="I42:J42"/>
    <mergeCell ref="F41:G41"/>
    <mergeCell ref="B31:Q31"/>
    <mergeCell ref="K34:L34"/>
    <mergeCell ref="F42:G42"/>
    <mergeCell ref="B104:H104"/>
    <mergeCell ref="B87:H87"/>
    <mergeCell ref="F61:G61"/>
    <mergeCell ref="I57:J57"/>
    <mergeCell ref="I58:J58"/>
    <mergeCell ref="C59:D59"/>
    <mergeCell ref="I66:J66"/>
    <mergeCell ref="F51:G51"/>
    <mergeCell ref="I51:J51"/>
    <mergeCell ref="E91:G91"/>
    <mergeCell ref="E92:G92"/>
    <mergeCell ref="E90:G90"/>
    <mergeCell ref="E95:G95"/>
    <mergeCell ref="B71:P71"/>
    <mergeCell ref="L72:M72"/>
    <mergeCell ref="O72:P72"/>
    <mergeCell ref="B85:N85"/>
    <mergeCell ref="L73:M73"/>
    <mergeCell ref="C67:D67"/>
    <mergeCell ref="B2:Q2"/>
    <mergeCell ref="B3:Q3"/>
    <mergeCell ref="B5:Q5"/>
    <mergeCell ref="B6:Q6"/>
    <mergeCell ref="B9:Q9"/>
    <mergeCell ref="B10:Q10"/>
    <mergeCell ref="B4:I4"/>
    <mergeCell ref="B7:I7"/>
    <mergeCell ref="B8:I8"/>
    <mergeCell ref="B12:Q12"/>
    <mergeCell ref="L13:M13"/>
    <mergeCell ref="O13:P13"/>
    <mergeCell ref="L14:M14"/>
    <mergeCell ref="O14:P14"/>
    <mergeCell ref="I14:J14"/>
    <mergeCell ref="L15:M15"/>
    <mergeCell ref="O15:P15"/>
    <mergeCell ref="C14:D14"/>
    <mergeCell ref="C15:D15"/>
    <mergeCell ref="L16:M16"/>
    <mergeCell ref="O16:P16"/>
    <mergeCell ref="I15:J15"/>
    <mergeCell ref="I16:J16"/>
    <mergeCell ref="C16:D16"/>
    <mergeCell ref="O18:P18"/>
    <mergeCell ref="L19:M19"/>
    <mergeCell ref="O19:P19"/>
    <mergeCell ref="L20:M20"/>
    <mergeCell ref="O20:P20"/>
    <mergeCell ref="L21:M21"/>
    <mergeCell ref="O21:P21"/>
    <mergeCell ref="L22:M22"/>
    <mergeCell ref="O22:P22"/>
    <mergeCell ref="L23:M23"/>
    <mergeCell ref="O23:P23"/>
    <mergeCell ref="B26:Q26"/>
    <mergeCell ref="B27:Q27"/>
    <mergeCell ref="F25:G25"/>
    <mergeCell ref="C25:D25"/>
    <mergeCell ref="C24:D24"/>
    <mergeCell ref="C23:D23"/>
    <mergeCell ref="N34:O34"/>
    <mergeCell ref="T34:T36"/>
    <mergeCell ref="L40:M40"/>
    <mergeCell ref="O40:P40"/>
    <mergeCell ref="B34:B36"/>
    <mergeCell ref="L41:M41"/>
    <mergeCell ref="O41:P41"/>
    <mergeCell ref="L42:M42"/>
    <mergeCell ref="O42:P42"/>
    <mergeCell ref="L43:M43"/>
    <mergeCell ref="O43:P43"/>
    <mergeCell ref="L44:M44"/>
    <mergeCell ref="O44:P44"/>
    <mergeCell ref="B46:Q46"/>
    <mergeCell ref="G47:L47"/>
    <mergeCell ref="B49:Q49"/>
    <mergeCell ref="L50:M50"/>
    <mergeCell ref="O50:P50"/>
    <mergeCell ref="I44:J44"/>
    <mergeCell ref="F50:G50"/>
    <mergeCell ref="I50:J50"/>
    <mergeCell ref="B48:E48"/>
    <mergeCell ref="L51:M51"/>
    <mergeCell ref="O51:P51"/>
    <mergeCell ref="L52:M52"/>
    <mergeCell ref="O52:P52"/>
    <mergeCell ref="B54:Q54"/>
    <mergeCell ref="B56:P56"/>
    <mergeCell ref="F52:G52"/>
    <mergeCell ref="I52:J52"/>
    <mergeCell ref="B55:E55"/>
    <mergeCell ref="C51:D51"/>
    <mergeCell ref="L57:M57"/>
    <mergeCell ref="O57:P57"/>
    <mergeCell ref="L58:M58"/>
    <mergeCell ref="O58:P58"/>
    <mergeCell ref="L59:M59"/>
    <mergeCell ref="O59:P59"/>
    <mergeCell ref="O60:P60"/>
    <mergeCell ref="L61:M61"/>
    <mergeCell ref="B62:P62"/>
    <mergeCell ref="B63:P63"/>
    <mergeCell ref="B65:N65"/>
    <mergeCell ref="F60:G60"/>
    <mergeCell ref="C60:D60"/>
    <mergeCell ref="O73:P73"/>
    <mergeCell ref="L74:M74"/>
    <mergeCell ref="O74:P74"/>
    <mergeCell ref="L75:M75"/>
    <mergeCell ref="O75:P75"/>
    <mergeCell ref="I83:J83"/>
    <mergeCell ref="B79:E79"/>
    <mergeCell ref="F81:G81"/>
    <mergeCell ref="I75:J75"/>
    <mergeCell ref="C76:D76"/>
    <mergeCell ref="F76:G76"/>
    <mergeCell ref="F68:G68"/>
    <mergeCell ref="I68:J68"/>
    <mergeCell ref="C68:D68"/>
  </mergeCells>
  <dataValidations count="59">
    <dataValidation errorStyle="warning" type="custom" operator="lessThanOrEqual" allowBlank="1" showErrorMessage="1" errorTitle="Notice" error="Only single channel playback is supported on Mac client v1.0.1 or above" sqref="N82">
      <formula1>SUM(E82:N82)&lt;2</formula1>
    </dataValidation>
    <dataValidation type="whole" operator="lessThanOrEqual" allowBlank="1" showErrorMessage="1" errorTitle="Notice" error="Only single channel playback is supported for local playback on NVR FW v3.6.0 or above" sqref="E67 I67:K67">
      <formula1>1</formula1>
    </dataValidation>
    <dataValidation type="custom" operator="lessThanOrEqual" allowBlank="1" showInputMessage="1" showErrorMessage="1" promptTitle="Note" prompt="Enter the number of used cameras on local monitor interface." errorTitle="Notice" error="1. We don't suggest to use more than 1 camera with 4M resolution on local display mode now.&#10;2. Currently QNAP NVR supports up to 16-channel display mode on the local monitor interface. The accumulative cameras exceed 16." sqref="N59">
      <formula1>SUM(E59:P59)&lt;=16</formula1>
    </dataValidation>
    <dataValidation type="custom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L59:M59">
      <formula1>SUM(E59:P59)&lt;=16</formula1>
    </dataValidation>
    <dataValidation allowBlank="1" showInputMessage="1" promptTitle="Note" prompt="** The total bandwidth is the largest amount of network capacity provided by the VioStor NVR for data streaming on LAN or the Internet. You are better to reserve 20% or more bandwidth to guarantee more stable connection and higher quality of viewing." sqref="B84 B53 B25 B45 B76"/>
    <dataValidation errorStyle="information" type="decimal" operator="greaterThan" allowBlank="1" promptTitle="Note" prompt="Enter the disk volume capacity." errorTitle="Notice" error="You are suggested to enter a number bigger than 0." sqref="E100 E91:E92">
      <formula1>0</formula1>
    </dataValidation>
    <dataValidation allowBlank="1" showInputMessage="1" showErrorMessage="1" promptTitle="Note" prompt="The total system CPU time is suggest to less than 88% for reliable and stable system performance." sqref="E101"/>
    <dataValidation errorStyle="information" type="whole" operator="greaterThanOrEqual" allowBlank="1" showInputMessage="1" showErrorMessage="1" promptTitle="Note" prompt="Please enter the number of used cameras." errorTitle="Note" error="Please enter the number of used cameras." sqref="Q43">
      <formula1>0</formula1>
    </dataValidation>
    <dataValidation errorStyle="information" type="whole" operator="greaterThanOrEqual" allowBlank="1" showInputMessage="1" showErrorMessage="1" promptTitle="Note" prompt="Please enter the number of used cameras." errorTitle="Note" error="Please enter the number of used cameras." sqref="K43:P43">
      <formula1>0</formula1>
    </dataValidation>
    <dataValidation errorStyle="information" type="decimal" operator="greaterThanOrEqual" showInputMessage="1" showErrorMessage="1" promptTitle="Note" prompt="If NVR is under RAID rebuilding and recovery, remote replication, video backup or other process, please increase the value." errorTitle="Notice" error="For other application, such as RAID rebuilding and recovery, remote replication, and video backup, you are suggested to reserve 10% or more CPU usage for stable and reliable system performance." sqref="E98:H98">
      <formula1>0.1</formula1>
    </dataValidation>
    <dataValidation allowBlank="1" showInputMessage="1" showErrorMessage="1" promptTitle="Note" prompt="When monitoring or playback by the local display, the resolution width or resolution height of the video stream must not exceed 2048." sqref="B56:P56"/>
    <dataValidation allowBlank="1" showInputMessage="1" promptTitle="Note" prompt="When monitoring or playback by the local display, the resolution width or resolution height of the video stream must not exceed 2048." sqref="B65:N65"/>
    <dataValidation allowBlank="1" sqref="D37:Q37 B12:Q12"/>
    <dataValidation allowBlank="1" showInputMessage="1" showErrorMessage="1" promptTitle="Note" prompt="Ex. RAID rebuilding and recovery, remote replication, and video backup" sqref="Q36"/>
    <dataValidation allowBlank="1" showErrorMessage="1" promptTitle="Note" sqref="K36"/>
    <dataValidation operator="greaterThan" allowBlank="1" showInputMessage="1" showErrorMessage="1" promptTitle="Note" prompt="Enter the disk volume capacity (TB)." errorTitle="Notice" error="Please enter the disk volume capacity." sqref="E30"/>
    <dataValidation errorStyle="information" type="decimal" allowBlank="1" showInputMessage="1" showErrorMessage="1" promptTitle="Note" prompt="Enter the desired recording hours." errorTitle="Notice" error="You are suggested to enter a number between 0 ~ 24." sqref="E20">
      <formula1>0</formula1>
      <formula2>24</formula2>
    </dataValidation>
    <dataValidation errorStyle="warning" type="decimal" allowBlank="1" showInputMessage="1" showErrorMessage="1" promptTitle="Note" prompt="Enter the desired recording hours." errorTitle="Notice" error="You are suggested to enter a number between 0 ~ 24." sqref="F20:O20 Q20">
      <formula1>0</formula1>
      <formula2>24</formula2>
    </dataValidation>
    <dataValidation errorStyle="information" type="whole" operator="greaterThanOrEqual" allowBlank="1" showInputMessage="1" showErrorMessage="1" promptTitle="Note" prompt="Enter the number of used cameras." errorTitle="Warning" error="Enter the number of used cameras." sqref="E15:O15 Q15">
      <formula1>0</formula1>
    </dataValidation>
    <dataValidation allowBlank="1" showInputMessage="1" showErrorMessage="1" promptTitle="Information" prompt="* The actual hard drive capacity required depends on the system configuration and sometimes the variation can be quite large. You are better to reserve 15% or more hard drive space for recording." sqref="B23:B24"/>
    <dataValidation allowBlank="1" showInputMessage="1" showErrorMessage="1" promptTitle="Note" prompt="** The total bandwidth is the largest amount of network capacity provided by the VioStor NVR for data streaming on LAN or the Internet. Please reserve 20% or more bandwidth to guarantee more stable connection and higher quality of viewing." sqref="E25"/>
    <dataValidation allowBlank="1" showInputMessage="1" promptTitle="Note" prompt="* The actual hard drive capacity required depends on the system configuration and sometimes the variation can be quite large. You are better to reserve 15% or more hard drive space for recording." sqref="E24"/>
    <dataValidation type="list" allowBlank="1" showInputMessage="1" promptTitle="Note" prompt="Select a video compression from the drop-down menu." errorTitle="Notice" error="Please choose the &quot;Compression format&quot; from the drop-down list" sqref="N14:P14">
      <formula1>$T$14:$W$14</formula1>
    </dataValidation>
    <dataValidation type="list" allowBlank="1" showInputMessage="1" promptTitle="Note" prompt="Select a video compression from the drop-down menu." errorTitle="Notice" error="Please choose the &quot;Compression format&quot; from the drop-down list" sqref="E14:M14">
      <formula1>$T$14:$X$14</formula1>
    </dataValidation>
    <dataValidation type="list" allowBlank="1" showInputMessage="1" showErrorMessage="1" promptTitle="Note" prompt="Choose motion frequency from the list." errorTitle="Notice" error="Please choose motion frequency from the drop-down menu." sqref="E18:Q18">
      <formula1>$T$18:$X$18</formula1>
    </dataValidation>
    <dataValidation type="list" allowBlank="1" showInputMessage="1" showErrorMessage="1" promptTitle="Note" prompt="Choose recording quality from the drop-down menu." errorTitle="Notice" error="Please choose recording quality from drop-down menu." sqref="I17:J17 F17:G17">
      <formula1>$T$17:$X$17</formula1>
    </dataValidation>
    <dataValidation type="list" allowBlank="1" showInputMessage="1" showErrorMessage="1" promptTitle="Note" prompt="Choose recording quality from the drop-down menu." errorTitle="Notice" error="Please choose recording quality from the drop-down menu." sqref="H17 E17 K17:Q17">
      <formula1>$T$17:$X$17</formula1>
    </dataValidation>
    <dataValidation errorStyle="information" type="list" operator="lessThanOrEqual" promptTitle="Note" prompt="Enter the number of used cameras." errorTitle="Notice" error="The accumulative camera numbers exceeds the max supported cameras of the preferred VioStor NVR model." sqref="E19:O19 Q19">
      <formula1>$T$19:$U$19</formula1>
    </dataValidation>
    <dataValidation type="list" allowBlank="1" showInputMessage="1" showErrorMessage="1" promptTitle="Note" prompt="Enter recording FPS." sqref="E16:Q16">
      <formula1>$A$116:$A$145</formula1>
    </dataValidation>
    <dataValidation type="list" allowBlank="1" showInputMessage="1" showErrorMessage="1" sqref="G34 M34 J34 G36 J36 D36 D34">
      <formula1>$T$34:$U$34</formula1>
    </dataValidation>
    <dataValidation type="custom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I59:J59">
      <formula1>SUM(E59:P59)&lt;=16</formula1>
    </dataValidation>
    <dataValidation type="custom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K59">
      <formula1>SUM(E59:P59)&lt;=16</formula1>
    </dataValidation>
    <dataValidation type="custom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O59:P59">
      <formula1>SUM(E59:P59)&lt;=16</formula1>
    </dataValidation>
    <dataValidation type="list" allowBlank="1" sqref="E41:O41 Q41">
      <formula1>$T$41:$V$41</formula1>
    </dataValidation>
    <dataValidation type="list" allowBlank="1" showInputMessage="1" showErrorMessage="1" sqref="H95">
      <formula1>$T$91:$Y$91</formula1>
    </dataValidation>
    <dataValidation type="list" allowBlank="1" sqref="O58:P58 O73:P73">
      <formula1>$U$42:$V$42</formula1>
    </dataValidation>
    <dataValidation type="list" allowBlank="1" sqref="E73:F73 K73:N73 Q42 H58:I58 E58:F58 K58:N58 E42:F42 H42:I42 H73:I73 K42:O42">
      <formula1>$T$42:$V$42</formula1>
    </dataValidation>
    <dataValidation type="list" allowBlank="1" showInputMessage="1" promptTitle="Note" prompt="Select a VioStor NVR model from the drop-down menu." sqref="E95:G95">
      <formula1>$B$116:$B$142</formula1>
    </dataValidation>
    <dataValidation type="list" allowBlank="1" showInputMessage="1" promptTitle="Note" prompt="Select a video compression from the drop-down menu." errorTitle="Notice" error="Please choose the &quot;Compression format&quot; from the drop-down list" sqref="Q14">
      <formula1>$U$14:$W$14</formula1>
    </dataValidation>
    <dataValidation type="list" operator="greaterThan" allowBlank="1" showInputMessage="1" showErrorMessage="1" promptTitle="Note" prompt="Enter the disk volume capacity (TB)." errorTitle="Notice" error="Please enter the disk volume capacity." sqref="E29">
      <formula1>$S$29:$U$29</formula1>
    </dataValidation>
    <dataValidation errorStyle="warning" type="custom" operator="lessThanOrEqual" allowBlank="1" showErrorMessage="1" errorTitle="Notice" error="Only single channel playback is supported on Mac client v1.0.1 or above" sqref="K82">
      <formula1>SUM(E82:N82)&lt;2</formula1>
    </dataValidation>
    <dataValidation errorStyle="warning" type="whole" operator="greaterThanOrEqual" allowBlank="1" showInputMessage="1" showErrorMessage="1" promptTitle="Note" prompt="Please enter the number of used cameras." errorTitle="Notice" error="Up to 16-channel display mode is supported on Mac client v1.0.1 or above" sqref="I74:K74">
      <formula1>0</formula1>
    </dataValidation>
    <dataValidation errorStyle="warning" type="whole" operator="greaterThanOrEqual" allowBlank="1" showInputMessage="1" showErrorMessage="1" promptTitle="Note" prompt="Please enter the number of used cameras." errorTitle="Notice" error="Up to 16-channel display mode is supported on Mac client v1.0.1 or above" sqref="L74:P74">
      <formula1>0</formula1>
    </dataValidation>
    <dataValidation type="whole" operator="lessThanOrEqual" allowBlank="1" showErrorMessage="1" errorTitle="Notice" error="Only single channel playback is supported for local playback on NVR FW v3.6.0 or above" sqref="N67">
      <formula1>1</formula1>
    </dataValidation>
    <dataValidation errorStyle="warning" type="custom" operator="lessThanOrEqual" allowBlank="1" showErrorMessage="1" errorTitle="Notice" error="Only single channel playback is supported on Mac client v1.0.1 or above" sqref="L82:M82">
      <formula1>SUM(E82:N82)&lt;2</formula1>
    </dataValidation>
    <dataValidation type="whole" operator="lessThanOrEqual" allowBlank="1" showErrorMessage="1" errorTitle="Notice" error="Only single channel playback is supported for local playback on NVR FW v3.6.0 or above" sqref="F67:G67">
      <formula1>1</formula1>
    </dataValidation>
    <dataValidation type="whole" operator="lessThanOrEqual" allowBlank="1" showErrorMessage="1" errorTitle="Notice" error="Only single channel playback is supported for local playback on NVR FW v3.6.0 or above" sqref="L67:M67">
      <formula1>1</formula1>
    </dataValidation>
    <dataValidation errorStyle="information" type="whole" operator="greaterThanOrEqual" allowBlank="1" showInputMessage="1" showErrorMessage="1" promptTitle="Note" prompt="Please enter the number of used cameras." errorTitle="Note" error="Please enter the number of used cameras." sqref="H51:Q51 E43:J43">
      <formula1>0</formula1>
    </dataValidation>
    <dataValidation errorStyle="information" type="whole" operator="greaterThanOrEqual" allowBlank="1" showInputMessage="1" showErrorMessage="1" promptTitle="Note" prompt="Please enter the number of used cameras." errorTitle="Note" error="Please enter the number of used cameras." sqref="E51:G51">
      <formula1>0</formula1>
    </dataValidation>
    <dataValidation errorStyle="warning" type="whole" operator="greaterThanOrEqual" allowBlank="1" showInputMessage="1" showErrorMessage="1" promptTitle="Note" prompt="Please enter the number of used cameras." errorTitle="Notice" error="Up to 16-channel display mode is supported on Mac client v1.0.1 or above" sqref="E74:G74">
      <formula1>0</formula1>
    </dataValidation>
    <dataValidation errorStyle="warning" type="whole" operator="greaterThanOrEqual" allowBlank="1" showInputMessage="1" showErrorMessage="1" promptTitle="Note" prompt="Please enter the number of used cameras." errorTitle="Notice" error="Up to 16-channel display mode is supported on Mac client v1.0.1 or above" sqref="H74">
      <formula1>0</formula1>
    </dataValidation>
    <dataValidation type="whole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E59">
      <formula1>16</formula1>
    </dataValidation>
    <dataValidation type="custom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F59:G59">
      <formula1>SUM(E59:P59)&lt;=16</formula1>
    </dataValidation>
    <dataValidation type="custom" operator="lessThanOrEqual" allowBlank="1" showInputMessage="1" showErrorMessage="1" promptTitle="Note" prompt="Enter the number of used cameras on local monitor interface." errorTitle="Notice" error="Currently QNAP NVR supports up to 16-channel display mode on the local monitor interface. The accumulative cameras exceed 16." sqref="H59">
      <formula1>SUM(E59:P59)&lt;=16</formula1>
    </dataValidation>
    <dataValidation type="whole" operator="lessThanOrEqual" allowBlank="1" showErrorMessage="1" errorTitle="Notice" error="Only single channel playback is supported for local playback on NVR FW v3.6.0 or above" sqref="H67">
      <formula1>1</formula1>
    </dataValidation>
    <dataValidation errorStyle="warning" type="custom" operator="lessThanOrEqual" allowBlank="1" showErrorMessage="1" errorTitle="Notice" error="Only single channel playback is supported on Mac client v1.0.1 or above" sqref="E82">
      <formula1>SUM(E82:N82)&lt;2</formula1>
    </dataValidation>
    <dataValidation errorStyle="warning" type="custom" operator="lessThanOrEqual" allowBlank="1" showErrorMessage="1" errorTitle="Notice" error="Only single channel playback is supported on Mac client v1.0.1 or above" sqref="F82:G82">
      <formula1>SUM(E82:N82)&lt;2</formula1>
    </dataValidation>
    <dataValidation errorStyle="warning" type="custom" operator="lessThanOrEqual" allowBlank="1" showErrorMessage="1" errorTitle="Notice" error="Only single channel playback is supported on Mac client v1.0.1 or above" sqref="H82">
      <formula1>SUM(E82:N82)&lt;2</formula1>
    </dataValidation>
    <dataValidation errorStyle="warning" type="custom" operator="lessThanOrEqual" allowBlank="1" showErrorMessage="1" errorTitle="Notice" error="Only single channel playback is supported on Mac client v1.0.1 or above" sqref="I82:J82">
      <formula1>SUM(E82:N82)&lt;2</formula1>
    </dataValidation>
  </dataValidations>
  <hyperlinks>
    <hyperlink ref="B7:E7" location="'Multi-stream'!A1" display="c) You can check &quot;Multi-stream&quot; tab for more information about the camera and its multi-stream feature."/>
    <hyperlink ref="B8:E8" location="'Camera Calculator'!A1" display="d) You can check &quot;Camera Calculator&quot; tab to use camera vendor's calculator for estimated bit rate.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60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5.75"/>
  <cols>
    <col min="1" max="1" width="14.00390625" style="56" bestFit="1" customWidth="1"/>
    <col min="2" max="2" width="51.375" style="57" customWidth="1"/>
    <col min="3" max="3" width="19.125" style="56" customWidth="1"/>
    <col min="4" max="6" width="24.50390625" style="56" customWidth="1"/>
    <col min="7" max="7" width="21.625" style="56" customWidth="1"/>
    <col min="8" max="16384" width="9.00390625" style="56" customWidth="1"/>
  </cols>
  <sheetData>
    <row r="1" spans="1:7" s="35" customFormat="1" ht="31.5" customHeight="1">
      <c r="A1" s="33"/>
      <c r="B1" s="34" t="s">
        <v>60</v>
      </c>
      <c r="C1" s="33" t="s">
        <v>61</v>
      </c>
      <c r="D1" s="33" t="s">
        <v>62</v>
      </c>
      <c r="E1" s="33" t="s">
        <v>63</v>
      </c>
      <c r="F1" s="33" t="s">
        <v>64</v>
      </c>
      <c r="G1" s="33" t="s">
        <v>65</v>
      </c>
    </row>
    <row r="2" spans="1:7" ht="15.75">
      <c r="A2" s="181" t="s">
        <v>66</v>
      </c>
      <c r="B2" s="181" t="s">
        <v>67</v>
      </c>
      <c r="C2" s="181" t="s">
        <v>68</v>
      </c>
      <c r="D2" s="181" t="s">
        <v>69</v>
      </c>
      <c r="E2" s="181" t="s">
        <v>290</v>
      </c>
      <c r="F2" s="181" t="s">
        <v>290</v>
      </c>
      <c r="G2" s="181" t="s">
        <v>70</v>
      </c>
    </row>
    <row r="3" spans="1:7" ht="15.75">
      <c r="A3" s="181" t="s">
        <v>66</v>
      </c>
      <c r="B3" s="181" t="s">
        <v>71</v>
      </c>
      <c r="C3" s="181" t="s">
        <v>68</v>
      </c>
      <c r="D3" s="181" t="s">
        <v>69</v>
      </c>
      <c r="E3" s="181" t="s">
        <v>291</v>
      </c>
      <c r="F3" s="181" t="s">
        <v>291</v>
      </c>
      <c r="G3" s="181" t="s">
        <v>70</v>
      </c>
    </row>
    <row r="4" spans="1:7" ht="47.25">
      <c r="A4" s="181" t="s">
        <v>66</v>
      </c>
      <c r="B4" s="181" t="s">
        <v>72</v>
      </c>
      <c r="C4" s="181" t="s">
        <v>68</v>
      </c>
      <c r="D4" s="181" t="s">
        <v>73</v>
      </c>
      <c r="E4" s="181" t="s">
        <v>291</v>
      </c>
      <c r="F4" s="181" t="s">
        <v>291</v>
      </c>
      <c r="G4" s="181" t="s">
        <v>70</v>
      </c>
    </row>
    <row r="5" spans="1:7" ht="78.75">
      <c r="A5" s="181" t="s">
        <v>74</v>
      </c>
      <c r="B5" s="181" t="s">
        <v>292</v>
      </c>
      <c r="C5" s="181" t="s">
        <v>68</v>
      </c>
      <c r="D5" s="181" t="s">
        <v>75</v>
      </c>
      <c r="E5" s="181" t="s">
        <v>293</v>
      </c>
      <c r="F5" s="181" t="s">
        <v>293</v>
      </c>
      <c r="G5" s="181" t="s">
        <v>76</v>
      </c>
    </row>
    <row r="6" spans="1:7" ht="15.75">
      <c r="A6" s="181" t="s">
        <v>74</v>
      </c>
      <c r="B6" s="181" t="s">
        <v>294</v>
      </c>
      <c r="C6" s="181" t="s">
        <v>68</v>
      </c>
      <c r="D6" s="181" t="s">
        <v>82</v>
      </c>
      <c r="E6" s="181" t="s">
        <v>293</v>
      </c>
      <c r="F6" s="181" t="s">
        <v>293</v>
      </c>
      <c r="G6" s="181"/>
    </row>
    <row r="7" spans="1:7" ht="15.75">
      <c r="A7" s="181" t="s">
        <v>74</v>
      </c>
      <c r="B7" s="181" t="s">
        <v>295</v>
      </c>
      <c r="C7" s="181" t="s">
        <v>68</v>
      </c>
      <c r="D7" s="181" t="s">
        <v>75</v>
      </c>
      <c r="E7" s="181" t="s">
        <v>75</v>
      </c>
      <c r="F7" s="181"/>
      <c r="G7" s="181"/>
    </row>
    <row r="8" spans="1:7" ht="15.75">
      <c r="A8" s="181" t="s">
        <v>74</v>
      </c>
      <c r="B8" s="181" t="s">
        <v>296</v>
      </c>
      <c r="C8" s="181" t="s">
        <v>297</v>
      </c>
      <c r="D8" s="181" t="s">
        <v>75</v>
      </c>
      <c r="E8" s="181" t="s">
        <v>298</v>
      </c>
      <c r="F8" s="181" t="s">
        <v>299</v>
      </c>
      <c r="G8" s="181"/>
    </row>
    <row r="9" spans="1:7" ht="47.25">
      <c r="A9" s="181" t="s">
        <v>77</v>
      </c>
      <c r="B9" s="181" t="s">
        <v>94</v>
      </c>
      <c r="C9" s="181" t="s">
        <v>68</v>
      </c>
      <c r="D9" s="181" t="s">
        <v>78</v>
      </c>
      <c r="E9" s="181" t="s">
        <v>75</v>
      </c>
      <c r="F9" s="181" t="s">
        <v>75</v>
      </c>
      <c r="G9" s="181" t="s">
        <v>79</v>
      </c>
    </row>
    <row r="10" spans="1:7" ht="15.75">
      <c r="A10" s="181" t="s">
        <v>300</v>
      </c>
      <c r="B10" s="181" t="s">
        <v>301</v>
      </c>
      <c r="C10" s="181" t="s">
        <v>299</v>
      </c>
      <c r="D10" s="181" t="s">
        <v>82</v>
      </c>
      <c r="E10" s="181" t="s">
        <v>293</v>
      </c>
      <c r="F10" s="181" t="s">
        <v>293</v>
      </c>
      <c r="G10" s="181"/>
    </row>
    <row r="11" spans="1:7" ht="63">
      <c r="A11" s="181" t="s">
        <v>70</v>
      </c>
      <c r="B11" s="181" t="s">
        <v>302</v>
      </c>
      <c r="C11" s="181" t="s">
        <v>68</v>
      </c>
      <c r="D11" s="181" t="s">
        <v>303</v>
      </c>
      <c r="E11" s="181" t="s">
        <v>304</v>
      </c>
      <c r="F11" s="181" t="s">
        <v>304</v>
      </c>
      <c r="G11" s="181"/>
    </row>
    <row r="12" spans="1:7" ht="15.75">
      <c r="A12" s="181" t="s">
        <v>70</v>
      </c>
      <c r="B12" s="181" t="s">
        <v>305</v>
      </c>
      <c r="C12" s="181" t="s">
        <v>68</v>
      </c>
      <c r="D12" s="181" t="s">
        <v>306</v>
      </c>
      <c r="E12" s="181" t="s">
        <v>304</v>
      </c>
      <c r="F12" s="181" t="s">
        <v>304</v>
      </c>
      <c r="G12" s="181"/>
    </row>
    <row r="13" spans="1:7" ht="47.25">
      <c r="A13" s="181" t="s">
        <v>70</v>
      </c>
      <c r="B13" s="181" t="s">
        <v>80</v>
      </c>
      <c r="C13" s="181" t="s">
        <v>68</v>
      </c>
      <c r="D13" s="181" t="s">
        <v>307</v>
      </c>
      <c r="E13" s="181" t="s">
        <v>304</v>
      </c>
      <c r="F13" s="181" t="s">
        <v>304</v>
      </c>
      <c r="G13" s="181"/>
    </row>
    <row r="14" spans="1:7" ht="63">
      <c r="A14" s="181" t="s">
        <v>70</v>
      </c>
      <c r="B14" s="181" t="s">
        <v>308</v>
      </c>
      <c r="C14" s="181" t="s">
        <v>68</v>
      </c>
      <c r="D14" s="181" t="s">
        <v>303</v>
      </c>
      <c r="E14" s="181" t="s">
        <v>304</v>
      </c>
      <c r="F14" s="181" t="s">
        <v>304</v>
      </c>
      <c r="G14" s="181"/>
    </row>
    <row r="15" spans="1:7" ht="31.5">
      <c r="A15" s="181" t="s">
        <v>70</v>
      </c>
      <c r="B15" s="181" t="s">
        <v>309</v>
      </c>
      <c r="C15" s="181" t="s">
        <v>68</v>
      </c>
      <c r="D15" s="181" t="s">
        <v>306</v>
      </c>
      <c r="E15" s="181" t="s">
        <v>310</v>
      </c>
      <c r="F15" s="181" t="s">
        <v>310</v>
      </c>
      <c r="G15" s="181"/>
    </row>
    <row r="16" spans="1:7" ht="15.75">
      <c r="A16" s="181" t="s">
        <v>70</v>
      </c>
      <c r="B16" s="181" t="s">
        <v>81</v>
      </c>
      <c r="C16" s="181" t="s">
        <v>68</v>
      </c>
      <c r="D16" s="181" t="s">
        <v>75</v>
      </c>
      <c r="E16" s="181" t="s">
        <v>310</v>
      </c>
      <c r="F16" s="181" t="s">
        <v>310</v>
      </c>
      <c r="G16" s="181"/>
    </row>
    <row r="17" spans="1:7" ht="15.75">
      <c r="A17" s="181" t="s">
        <v>70</v>
      </c>
      <c r="B17" s="181">
        <v>212</v>
      </c>
      <c r="C17" s="181" t="s">
        <v>68</v>
      </c>
      <c r="D17" s="181" t="s">
        <v>82</v>
      </c>
      <c r="E17" s="181" t="s">
        <v>293</v>
      </c>
      <c r="F17" s="181" t="s">
        <v>293</v>
      </c>
      <c r="G17" s="181"/>
    </row>
    <row r="18" spans="1:7" ht="31.5">
      <c r="A18" s="181" t="s">
        <v>70</v>
      </c>
      <c r="B18" s="181" t="s">
        <v>311</v>
      </c>
      <c r="C18" s="181" t="s">
        <v>68</v>
      </c>
      <c r="D18" s="181" t="s">
        <v>306</v>
      </c>
      <c r="E18" s="181" t="s">
        <v>293</v>
      </c>
      <c r="F18" s="181" t="s">
        <v>293</v>
      </c>
      <c r="G18" s="181"/>
    </row>
    <row r="19" spans="1:7" ht="15.75">
      <c r="A19" s="181" t="s">
        <v>70</v>
      </c>
      <c r="B19" s="181" t="s">
        <v>312</v>
      </c>
      <c r="C19" s="181" t="s">
        <v>299</v>
      </c>
      <c r="D19" s="181" t="s">
        <v>313</v>
      </c>
      <c r="E19" s="181" t="s">
        <v>313</v>
      </c>
      <c r="F19" s="181" t="s">
        <v>313</v>
      </c>
      <c r="G19" s="181"/>
    </row>
    <row r="20" spans="1:7" ht="15.75">
      <c r="A20" s="181" t="s">
        <v>70</v>
      </c>
      <c r="B20" s="181" t="s">
        <v>314</v>
      </c>
      <c r="C20" s="181" t="s">
        <v>68</v>
      </c>
      <c r="D20" s="181" t="s">
        <v>315</v>
      </c>
      <c r="E20" s="181" t="s">
        <v>316</v>
      </c>
      <c r="F20" s="181" t="s">
        <v>316</v>
      </c>
      <c r="G20" s="181"/>
    </row>
    <row r="21" spans="1:7" ht="15.75">
      <c r="A21" s="181" t="s">
        <v>70</v>
      </c>
      <c r="B21" s="181" t="s">
        <v>317</v>
      </c>
      <c r="C21" s="181" t="s">
        <v>68</v>
      </c>
      <c r="D21" s="181" t="s">
        <v>75</v>
      </c>
      <c r="E21" s="181" t="s">
        <v>304</v>
      </c>
      <c r="F21" s="181" t="s">
        <v>304</v>
      </c>
      <c r="G21" s="181"/>
    </row>
    <row r="22" spans="1:7" ht="15.75">
      <c r="A22" s="181" t="s">
        <v>70</v>
      </c>
      <c r="B22" s="181" t="s">
        <v>318</v>
      </c>
      <c r="C22" s="181" t="s">
        <v>68</v>
      </c>
      <c r="D22" s="181" t="s">
        <v>306</v>
      </c>
      <c r="E22" s="181" t="s">
        <v>319</v>
      </c>
      <c r="F22" s="181" t="s">
        <v>319</v>
      </c>
      <c r="G22" s="181"/>
    </row>
    <row r="23" spans="1:7" ht="15.75">
      <c r="A23" s="181" t="s">
        <v>70</v>
      </c>
      <c r="B23" s="181" t="s">
        <v>320</v>
      </c>
      <c r="C23" s="181" t="s">
        <v>68</v>
      </c>
      <c r="D23" s="181" t="s">
        <v>306</v>
      </c>
      <c r="E23" s="181" t="s">
        <v>321</v>
      </c>
      <c r="F23" s="181" t="s">
        <v>321</v>
      </c>
      <c r="G23" s="181"/>
    </row>
    <row r="24" spans="1:7" ht="126">
      <c r="A24" s="181" t="s">
        <v>70</v>
      </c>
      <c r="B24" s="181" t="s">
        <v>322</v>
      </c>
      <c r="C24" s="181" t="s">
        <v>68</v>
      </c>
      <c r="D24" s="181" t="s">
        <v>323</v>
      </c>
      <c r="E24" s="181" t="s">
        <v>321</v>
      </c>
      <c r="F24" s="181" t="s">
        <v>321</v>
      </c>
      <c r="G24" s="181"/>
    </row>
    <row r="25" spans="1:7" ht="15.75">
      <c r="A25" s="181" t="s">
        <v>70</v>
      </c>
      <c r="B25" s="181" t="s">
        <v>324</v>
      </c>
      <c r="C25" s="181" t="s">
        <v>68</v>
      </c>
      <c r="D25" s="181" t="s">
        <v>325</v>
      </c>
      <c r="E25" s="181" t="s">
        <v>304</v>
      </c>
      <c r="F25" s="181" t="s">
        <v>304</v>
      </c>
      <c r="G25" s="181"/>
    </row>
    <row r="26" spans="1:7" ht="15.75">
      <c r="A26" s="181" t="s">
        <v>70</v>
      </c>
      <c r="B26" s="181" t="s">
        <v>326</v>
      </c>
      <c r="C26" s="181" t="s">
        <v>68</v>
      </c>
      <c r="D26" s="181" t="s">
        <v>306</v>
      </c>
      <c r="E26" s="181" t="s">
        <v>293</v>
      </c>
      <c r="F26" s="181" t="s">
        <v>293</v>
      </c>
      <c r="G26" s="181"/>
    </row>
    <row r="27" spans="1:7" ht="31.5">
      <c r="A27" s="181" t="s">
        <v>70</v>
      </c>
      <c r="B27" s="181" t="s">
        <v>327</v>
      </c>
      <c r="C27" s="181" t="s">
        <v>68</v>
      </c>
      <c r="D27" s="181" t="s">
        <v>306</v>
      </c>
      <c r="E27" s="181" t="s">
        <v>304</v>
      </c>
      <c r="F27" s="181" t="s">
        <v>304</v>
      </c>
      <c r="G27" s="181"/>
    </row>
    <row r="28" spans="1:7" ht="15.75">
      <c r="A28" s="181" t="s">
        <v>70</v>
      </c>
      <c r="B28" s="181" t="s">
        <v>328</v>
      </c>
      <c r="C28" s="181" t="s">
        <v>68</v>
      </c>
      <c r="D28" s="181" t="s">
        <v>306</v>
      </c>
      <c r="E28" s="181" t="s">
        <v>329</v>
      </c>
      <c r="F28" s="181" t="s">
        <v>329</v>
      </c>
      <c r="G28" s="181"/>
    </row>
    <row r="29" spans="1:7" ht="31.5">
      <c r="A29" s="181" t="s">
        <v>70</v>
      </c>
      <c r="B29" s="181" t="s">
        <v>83</v>
      </c>
      <c r="C29" s="181" t="s">
        <v>68</v>
      </c>
      <c r="D29" s="181" t="s">
        <v>330</v>
      </c>
      <c r="E29" s="181" t="s">
        <v>329</v>
      </c>
      <c r="F29" s="181" t="s">
        <v>329</v>
      </c>
      <c r="G29" s="181"/>
    </row>
    <row r="30" spans="1:7" ht="78.75">
      <c r="A30" s="181" t="s">
        <v>70</v>
      </c>
      <c r="B30" s="181" t="s">
        <v>331</v>
      </c>
      <c r="C30" s="181"/>
      <c r="D30" s="181" t="s">
        <v>332</v>
      </c>
      <c r="E30" s="181" t="s">
        <v>333</v>
      </c>
      <c r="F30" s="181" t="s">
        <v>333</v>
      </c>
      <c r="G30" s="181"/>
    </row>
    <row r="31" spans="1:7" ht="15.75">
      <c r="A31" s="181" t="s">
        <v>334</v>
      </c>
      <c r="B31" s="181" t="s">
        <v>335</v>
      </c>
      <c r="C31" s="181" t="s">
        <v>336</v>
      </c>
      <c r="D31" s="181" t="s">
        <v>82</v>
      </c>
      <c r="E31" s="181" t="s">
        <v>337</v>
      </c>
      <c r="F31" s="181" t="s">
        <v>337</v>
      </c>
      <c r="G31" s="181"/>
    </row>
    <row r="32" spans="1:7" ht="63">
      <c r="A32" s="181" t="s">
        <v>334</v>
      </c>
      <c r="B32" s="181" t="s">
        <v>338</v>
      </c>
      <c r="C32" s="181" t="s">
        <v>68</v>
      </c>
      <c r="D32" s="181" t="s">
        <v>82</v>
      </c>
      <c r="E32" s="181" t="s">
        <v>339</v>
      </c>
      <c r="F32" s="181" t="s">
        <v>339</v>
      </c>
      <c r="G32" s="181" t="s">
        <v>340</v>
      </c>
    </row>
    <row r="33" spans="1:7" ht="47.25">
      <c r="A33" s="181" t="s">
        <v>84</v>
      </c>
      <c r="B33" s="181" t="s">
        <v>341</v>
      </c>
      <c r="C33" s="181" t="s">
        <v>342</v>
      </c>
      <c r="D33" s="181" t="s">
        <v>82</v>
      </c>
      <c r="E33" s="181" t="s">
        <v>291</v>
      </c>
      <c r="F33" s="181" t="s">
        <v>291</v>
      </c>
      <c r="G33" s="181"/>
    </row>
    <row r="34" spans="1:7" ht="78.75">
      <c r="A34" s="181" t="s">
        <v>84</v>
      </c>
      <c r="B34" s="181" t="s">
        <v>341</v>
      </c>
      <c r="C34" s="181" t="s">
        <v>343</v>
      </c>
      <c r="D34" s="181" t="s">
        <v>82</v>
      </c>
      <c r="E34" s="181" t="s">
        <v>75</v>
      </c>
      <c r="F34" s="181" t="s">
        <v>75</v>
      </c>
      <c r="G34" s="181" t="s">
        <v>85</v>
      </c>
    </row>
    <row r="35" spans="1:7" ht="15.75">
      <c r="A35" s="181" t="s">
        <v>84</v>
      </c>
      <c r="B35" s="181" t="s">
        <v>341</v>
      </c>
      <c r="C35" s="181" t="s">
        <v>299</v>
      </c>
      <c r="D35" s="181" t="s">
        <v>82</v>
      </c>
      <c r="E35" s="181" t="s">
        <v>75</v>
      </c>
      <c r="F35" s="181" t="s">
        <v>75</v>
      </c>
      <c r="G35" s="181"/>
    </row>
    <row r="36" spans="1:7" ht="94.5">
      <c r="A36" s="181" t="s">
        <v>84</v>
      </c>
      <c r="B36" s="181" t="s">
        <v>344</v>
      </c>
      <c r="C36" s="181" t="s">
        <v>299</v>
      </c>
      <c r="D36" s="181" t="s">
        <v>82</v>
      </c>
      <c r="E36" s="181" t="s">
        <v>293</v>
      </c>
      <c r="F36" s="181" t="s">
        <v>293</v>
      </c>
      <c r="G36" s="181"/>
    </row>
    <row r="37" spans="1:7" ht="78.75">
      <c r="A37" s="181" t="s">
        <v>84</v>
      </c>
      <c r="B37" s="181" t="s">
        <v>86</v>
      </c>
      <c r="C37" s="181" t="s">
        <v>345</v>
      </c>
      <c r="D37" s="181" t="s">
        <v>82</v>
      </c>
      <c r="E37" s="181" t="s">
        <v>346</v>
      </c>
      <c r="F37" s="181" t="s">
        <v>347</v>
      </c>
      <c r="G37" s="181"/>
    </row>
    <row r="38" spans="1:7" ht="78.75">
      <c r="A38" s="181" t="s">
        <v>84</v>
      </c>
      <c r="B38" s="181" t="s">
        <v>86</v>
      </c>
      <c r="C38" s="181" t="s">
        <v>348</v>
      </c>
      <c r="D38" s="181" t="s">
        <v>82</v>
      </c>
      <c r="E38" s="181" t="s">
        <v>291</v>
      </c>
      <c r="F38" s="181" t="s">
        <v>291</v>
      </c>
      <c r="G38" s="181"/>
    </row>
    <row r="39" spans="1:7" ht="15.75">
      <c r="A39" s="181" t="s">
        <v>84</v>
      </c>
      <c r="B39" s="181" t="s">
        <v>349</v>
      </c>
      <c r="C39" s="181" t="s">
        <v>68</v>
      </c>
      <c r="D39" s="181" t="s">
        <v>82</v>
      </c>
      <c r="E39" s="181" t="s">
        <v>75</v>
      </c>
      <c r="F39" s="181" t="s">
        <v>75</v>
      </c>
      <c r="G39" s="181"/>
    </row>
    <row r="40" spans="1:7" ht="15.75">
      <c r="A40" s="181" t="s">
        <v>87</v>
      </c>
      <c r="B40" s="181" t="s">
        <v>350</v>
      </c>
      <c r="C40" s="181" t="s">
        <v>68</v>
      </c>
      <c r="D40" s="181" t="s">
        <v>75</v>
      </c>
      <c r="E40" s="181" t="s">
        <v>75</v>
      </c>
      <c r="F40" s="181" t="s">
        <v>75</v>
      </c>
      <c r="G40" s="181"/>
    </row>
    <row r="41" spans="1:7" ht="15.75">
      <c r="A41" s="181" t="s">
        <v>87</v>
      </c>
      <c r="B41" s="181" t="s">
        <v>351</v>
      </c>
      <c r="C41" s="181" t="s">
        <v>68</v>
      </c>
      <c r="D41" s="181" t="s">
        <v>69</v>
      </c>
      <c r="E41" s="181" t="s">
        <v>75</v>
      </c>
      <c r="F41" s="181" t="s">
        <v>75</v>
      </c>
      <c r="G41" s="181"/>
    </row>
    <row r="42" spans="1:7" ht="15.75">
      <c r="A42" s="181" t="s">
        <v>88</v>
      </c>
      <c r="B42" s="181" t="s">
        <v>352</v>
      </c>
      <c r="C42" s="181" t="s">
        <v>68</v>
      </c>
      <c r="D42" s="181" t="s">
        <v>75</v>
      </c>
      <c r="E42" s="181" t="s">
        <v>75</v>
      </c>
      <c r="F42" s="181" t="s">
        <v>75</v>
      </c>
      <c r="G42" s="181"/>
    </row>
    <row r="43" spans="1:7" ht="15.75">
      <c r="A43" s="181" t="s">
        <v>88</v>
      </c>
      <c r="B43" s="181" t="s">
        <v>353</v>
      </c>
      <c r="C43" s="181" t="s">
        <v>68</v>
      </c>
      <c r="D43" s="181" t="s">
        <v>75</v>
      </c>
      <c r="E43" s="181" t="s">
        <v>75</v>
      </c>
      <c r="F43" s="181" t="s">
        <v>75</v>
      </c>
      <c r="G43" s="181" t="s">
        <v>89</v>
      </c>
    </row>
    <row r="44" spans="1:7" ht="15.75">
      <c r="A44" s="181" t="s">
        <v>354</v>
      </c>
      <c r="B44" s="181" t="s">
        <v>355</v>
      </c>
      <c r="C44" s="181" t="s">
        <v>68</v>
      </c>
      <c r="D44" s="181" t="s">
        <v>75</v>
      </c>
      <c r="E44" s="181" t="s">
        <v>75</v>
      </c>
      <c r="F44" s="181" t="s">
        <v>75</v>
      </c>
      <c r="G44" s="181"/>
    </row>
    <row r="45" spans="1:7" ht="15.75">
      <c r="A45" s="181" t="s">
        <v>90</v>
      </c>
      <c r="B45" s="181" t="s">
        <v>356</v>
      </c>
      <c r="C45" s="181" t="s">
        <v>68</v>
      </c>
      <c r="D45" s="181" t="s">
        <v>75</v>
      </c>
      <c r="E45" s="181" t="s">
        <v>75</v>
      </c>
      <c r="F45" s="181" t="s">
        <v>75</v>
      </c>
      <c r="G45" s="181"/>
    </row>
    <row r="46" spans="1:7" ht="63">
      <c r="A46" s="181" t="s">
        <v>90</v>
      </c>
      <c r="B46" s="181" t="s">
        <v>357</v>
      </c>
      <c r="C46" s="181" t="s">
        <v>68</v>
      </c>
      <c r="D46" s="181" t="s">
        <v>75</v>
      </c>
      <c r="E46" s="181" t="s">
        <v>75</v>
      </c>
      <c r="F46" s="181" t="s">
        <v>75</v>
      </c>
      <c r="G46" s="181" t="s">
        <v>89</v>
      </c>
    </row>
    <row r="47" spans="1:7" ht="94.5">
      <c r="A47" s="181" t="s">
        <v>90</v>
      </c>
      <c r="B47" s="181" t="s">
        <v>358</v>
      </c>
      <c r="C47" s="181"/>
      <c r="D47" s="181" t="s">
        <v>359</v>
      </c>
      <c r="E47" s="181" t="s">
        <v>359</v>
      </c>
      <c r="F47" s="181" t="s">
        <v>360</v>
      </c>
      <c r="G47" s="181"/>
    </row>
    <row r="48" spans="1:7" ht="31.5">
      <c r="A48" s="181" t="s">
        <v>90</v>
      </c>
      <c r="B48" s="181" t="s">
        <v>361</v>
      </c>
      <c r="C48" s="181" t="s">
        <v>362</v>
      </c>
      <c r="D48" s="181" t="s">
        <v>359</v>
      </c>
      <c r="E48" s="181" t="s">
        <v>359</v>
      </c>
      <c r="F48" s="181" t="s">
        <v>363</v>
      </c>
      <c r="G48" s="181"/>
    </row>
    <row r="49" spans="1:7" ht="15.75">
      <c r="A49" s="181" t="s">
        <v>90</v>
      </c>
      <c r="B49" s="181" t="s">
        <v>364</v>
      </c>
      <c r="C49" s="181" t="s">
        <v>68</v>
      </c>
      <c r="D49" s="181" t="s">
        <v>75</v>
      </c>
      <c r="E49" s="181" t="s">
        <v>365</v>
      </c>
      <c r="F49" s="181" t="s">
        <v>365</v>
      </c>
      <c r="G49" s="181"/>
    </row>
    <row r="50" spans="1:7" ht="63">
      <c r="A50" s="181" t="s">
        <v>366</v>
      </c>
      <c r="B50" s="181" t="s">
        <v>367</v>
      </c>
      <c r="C50" s="181" t="s">
        <v>368</v>
      </c>
      <c r="D50" s="181" t="s">
        <v>82</v>
      </c>
      <c r="E50" s="181" t="s">
        <v>339</v>
      </c>
      <c r="F50" s="181" t="s">
        <v>339</v>
      </c>
      <c r="G50" s="181" t="s">
        <v>340</v>
      </c>
    </row>
    <row r="51" spans="1:7" ht="15.75">
      <c r="A51" s="181" t="s">
        <v>91</v>
      </c>
      <c r="B51" s="181" t="s">
        <v>369</v>
      </c>
      <c r="C51" s="181" t="s">
        <v>68</v>
      </c>
      <c r="D51" s="181" t="s">
        <v>82</v>
      </c>
      <c r="E51" s="181" t="s">
        <v>293</v>
      </c>
      <c r="F51" s="181" t="s">
        <v>293</v>
      </c>
      <c r="G51" s="181"/>
    </row>
    <row r="52" spans="1:7" ht="47.25">
      <c r="A52" s="181" t="s">
        <v>91</v>
      </c>
      <c r="B52" s="181" t="s">
        <v>370</v>
      </c>
      <c r="C52" s="181" t="s">
        <v>299</v>
      </c>
      <c r="D52" s="181" t="s">
        <v>82</v>
      </c>
      <c r="E52" s="181" t="s">
        <v>371</v>
      </c>
      <c r="F52" s="182" t="s">
        <v>371</v>
      </c>
      <c r="G52" s="181"/>
    </row>
    <row r="53" spans="1:7" ht="31.5">
      <c r="A53" s="181" t="s">
        <v>372</v>
      </c>
      <c r="B53" s="181" t="s">
        <v>373</v>
      </c>
      <c r="C53" s="181" t="s">
        <v>68</v>
      </c>
      <c r="D53" s="181" t="s">
        <v>75</v>
      </c>
      <c r="E53" s="181" t="s">
        <v>75</v>
      </c>
      <c r="F53" s="181" t="s">
        <v>75</v>
      </c>
      <c r="G53" s="181"/>
    </row>
    <row r="54" spans="1:7" ht="63">
      <c r="A54" s="181" t="s">
        <v>374</v>
      </c>
      <c r="B54" s="181" t="s">
        <v>375</v>
      </c>
      <c r="C54" s="181" t="s">
        <v>68</v>
      </c>
      <c r="D54" s="181" t="s">
        <v>82</v>
      </c>
      <c r="E54" s="181" t="s">
        <v>339</v>
      </c>
      <c r="F54" s="181" t="s">
        <v>339</v>
      </c>
      <c r="G54" s="181" t="s">
        <v>340</v>
      </c>
    </row>
    <row r="55" spans="1:7" ht="63">
      <c r="A55" s="181" t="s">
        <v>374</v>
      </c>
      <c r="B55" s="181" t="s">
        <v>376</v>
      </c>
      <c r="C55" s="181" t="s">
        <v>299</v>
      </c>
      <c r="D55" s="181"/>
      <c r="E55" s="181" t="s">
        <v>337</v>
      </c>
      <c r="F55" s="181" t="s">
        <v>337</v>
      </c>
      <c r="G55" s="181"/>
    </row>
    <row r="56" spans="1:7" ht="47.25">
      <c r="A56" s="181" t="s">
        <v>92</v>
      </c>
      <c r="B56" s="181" t="s">
        <v>377</v>
      </c>
      <c r="C56" s="181" t="s">
        <v>68</v>
      </c>
      <c r="D56" s="181" t="s">
        <v>75</v>
      </c>
      <c r="E56" s="181" t="s">
        <v>75</v>
      </c>
      <c r="F56" s="181" t="s">
        <v>75</v>
      </c>
      <c r="G56" s="181"/>
    </row>
    <row r="57" spans="1:7" ht="31.5">
      <c r="A57" s="181" t="s">
        <v>92</v>
      </c>
      <c r="B57" s="181" t="s">
        <v>378</v>
      </c>
      <c r="C57" s="181" t="s">
        <v>368</v>
      </c>
      <c r="D57" s="181" t="s">
        <v>82</v>
      </c>
      <c r="E57" s="181" t="s">
        <v>379</v>
      </c>
      <c r="F57" s="181" t="s">
        <v>379</v>
      </c>
      <c r="G57" s="181"/>
    </row>
    <row r="58" spans="1:7" ht="47.25">
      <c r="A58" s="181" t="s">
        <v>93</v>
      </c>
      <c r="B58" s="181" t="s">
        <v>94</v>
      </c>
      <c r="C58" s="181" t="s">
        <v>68</v>
      </c>
      <c r="D58" s="181" t="s">
        <v>75</v>
      </c>
      <c r="E58" s="181" t="s">
        <v>75</v>
      </c>
      <c r="F58" s="181" t="s">
        <v>75</v>
      </c>
      <c r="G58" s="181" t="s">
        <v>95</v>
      </c>
    </row>
    <row r="59" spans="1:7" ht="47.25">
      <c r="A59" s="181" t="s">
        <v>380</v>
      </c>
      <c r="B59" s="181" t="s">
        <v>381</v>
      </c>
      <c r="C59" s="181" t="s">
        <v>68</v>
      </c>
      <c r="D59" s="181" t="s">
        <v>82</v>
      </c>
      <c r="E59" s="181" t="s">
        <v>339</v>
      </c>
      <c r="F59" s="181" t="s">
        <v>339</v>
      </c>
      <c r="G59" s="181"/>
    </row>
    <row r="60" spans="1:7" ht="47.25">
      <c r="A60" s="181" t="s">
        <v>96</v>
      </c>
      <c r="B60" s="181" t="s">
        <v>94</v>
      </c>
      <c r="C60" s="181" t="s">
        <v>68</v>
      </c>
      <c r="D60" s="181" t="s">
        <v>82</v>
      </c>
      <c r="E60" s="181" t="s">
        <v>97</v>
      </c>
      <c r="F60" s="181" t="s">
        <v>97</v>
      </c>
      <c r="G60" s="181"/>
    </row>
    <row r="61" spans="1:7" ht="15.75">
      <c r="A61" s="181" t="s">
        <v>382</v>
      </c>
      <c r="B61" s="181" t="s">
        <v>383</v>
      </c>
      <c r="C61" s="181" t="s">
        <v>299</v>
      </c>
      <c r="D61" s="181" t="s">
        <v>82</v>
      </c>
      <c r="E61" s="181" t="s">
        <v>337</v>
      </c>
      <c r="F61" s="181" t="s">
        <v>337</v>
      </c>
      <c r="G61" s="181"/>
    </row>
    <row r="62" spans="1:7" ht="15.75">
      <c r="A62" s="181" t="s">
        <v>384</v>
      </c>
      <c r="B62" s="181" t="s">
        <v>385</v>
      </c>
      <c r="C62" s="181" t="s">
        <v>68</v>
      </c>
      <c r="D62" s="181" t="s">
        <v>75</v>
      </c>
      <c r="E62" s="181" t="s">
        <v>386</v>
      </c>
      <c r="F62" s="181" t="s">
        <v>386</v>
      </c>
      <c r="G62" s="181"/>
    </row>
    <row r="63" spans="1:7" ht="63">
      <c r="A63" s="181" t="s">
        <v>387</v>
      </c>
      <c r="B63" s="181" t="s">
        <v>388</v>
      </c>
      <c r="C63" s="181" t="s">
        <v>68</v>
      </c>
      <c r="D63" s="181" t="s">
        <v>75</v>
      </c>
      <c r="E63" s="181" t="s">
        <v>389</v>
      </c>
      <c r="F63" s="181" t="s">
        <v>389</v>
      </c>
      <c r="G63" s="181" t="s">
        <v>390</v>
      </c>
    </row>
    <row r="64" spans="1:7" ht="15.75">
      <c r="A64" s="181" t="s">
        <v>391</v>
      </c>
      <c r="B64" s="181" t="s">
        <v>392</v>
      </c>
      <c r="C64" s="181" t="s">
        <v>68</v>
      </c>
      <c r="D64" s="181" t="s">
        <v>82</v>
      </c>
      <c r="E64" s="181" t="s">
        <v>393</v>
      </c>
      <c r="F64" s="181" t="s">
        <v>393</v>
      </c>
      <c r="G64" s="181"/>
    </row>
    <row r="65" spans="1:7" ht="63">
      <c r="A65" s="181" t="s">
        <v>391</v>
      </c>
      <c r="B65" s="181" t="s">
        <v>394</v>
      </c>
      <c r="C65" s="181" t="s">
        <v>68</v>
      </c>
      <c r="D65" s="181" t="s">
        <v>82</v>
      </c>
      <c r="E65" s="181" t="s">
        <v>395</v>
      </c>
      <c r="F65" s="181" t="s">
        <v>395</v>
      </c>
      <c r="G65" s="181"/>
    </row>
    <row r="66" spans="1:7" ht="15.75">
      <c r="A66" s="181" t="s">
        <v>396</v>
      </c>
      <c r="B66" s="181" t="s">
        <v>397</v>
      </c>
      <c r="C66" s="181" t="s">
        <v>68</v>
      </c>
      <c r="D66" s="181" t="s">
        <v>75</v>
      </c>
      <c r="E66" s="181" t="s">
        <v>389</v>
      </c>
      <c r="F66" s="181" t="s">
        <v>389</v>
      </c>
      <c r="G66" s="181"/>
    </row>
    <row r="67" spans="1:7" ht="110.25">
      <c r="A67" s="181" t="s">
        <v>98</v>
      </c>
      <c r="B67" s="181" t="s">
        <v>398</v>
      </c>
      <c r="C67" s="181" t="s">
        <v>399</v>
      </c>
      <c r="D67" s="181" t="s">
        <v>82</v>
      </c>
      <c r="E67" s="181" t="s">
        <v>339</v>
      </c>
      <c r="F67" s="181" t="s">
        <v>339</v>
      </c>
      <c r="G67" s="181" t="s">
        <v>400</v>
      </c>
    </row>
    <row r="68" spans="1:7" ht="47.25">
      <c r="A68" s="181" t="s">
        <v>99</v>
      </c>
      <c r="B68" s="181" t="s">
        <v>401</v>
      </c>
      <c r="C68" s="181" t="s">
        <v>68</v>
      </c>
      <c r="D68" s="181" t="s">
        <v>100</v>
      </c>
      <c r="E68" s="181" t="s">
        <v>75</v>
      </c>
      <c r="F68" s="181" t="s">
        <v>75</v>
      </c>
      <c r="G68" s="181"/>
    </row>
    <row r="69" spans="1:7" ht="15.75">
      <c r="A69" s="181" t="s">
        <v>101</v>
      </c>
      <c r="B69" s="181" t="s">
        <v>402</v>
      </c>
      <c r="C69" s="181" t="s">
        <v>68</v>
      </c>
      <c r="D69" s="181" t="s">
        <v>75</v>
      </c>
      <c r="E69" s="181" t="s">
        <v>75</v>
      </c>
      <c r="F69" s="181" t="s">
        <v>75</v>
      </c>
      <c r="G69" s="181"/>
    </row>
    <row r="70" spans="1:7" ht="47.25">
      <c r="A70" s="181" t="s">
        <v>101</v>
      </c>
      <c r="B70" s="181" t="s">
        <v>403</v>
      </c>
      <c r="C70" s="181" t="s">
        <v>68</v>
      </c>
      <c r="D70" s="181" t="s">
        <v>75</v>
      </c>
      <c r="E70" s="181" t="s">
        <v>75</v>
      </c>
      <c r="F70" s="181" t="s">
        <v>75</v>
      </c>
      <c r="G70" s="181" t="s">
        <v>89</v>
      </c>
    </row>
    <row r="71" spans="1:7" ht="15.75">
      <c r="A71" s="181" t="s">
        <v>404</v>
      </c>
      <c r="B71" s="181" t="s">
        <v>405</v>
      </c>
      <c r="C71" s="181" t="s">
        <v>299</v>
      </c>
      <c r="D71" s="181" t="s">
        <v>82</v>
      </c>
      <c r="E71" s="181" t="s">
        <v>313</v>
      </c>
      <c r="F71" s="181" t="s">
        <v>313</v>
      </c>
      <c r="G71" s="181"/>
    </row>
    <row r="72" spans="1:7" ht="126">
      <c r="A72" s="181" t="s">
        <v>406</v>
      </c>
      <c r="B72" s="181" t="s">
        <v>407</v>
      </c>
      <c r="C72" s="181" t="s">
        <v>68</v>
      </c>
      <c r="D72" s="181"/>
      <c r="E72" s="181" t="s">
        <v>408</v>
      </c>
      <c r="F72" s="181" t="s">
        <v>408</v>
      </c>
      <c r="G72" s="181"/>
    </row>
    <row r="73" spans="1:7" ht="15.75">
      <c r="A73" s="181" t="s">
        <v>102</v>
      </c>
      <c r="B73" s="181" t="s">
        <v>409</v>
      </c>
      <c r="C73" s="181" t="s">
        <v>68</v>
      </c>
      <c r="D73" s="181" t="s">
        <v>75</v>
      </c>
      <c r="E73" s="181" t="s">
        <v>75</v>
      </c>
      <c r="F73" s="181" t="s">
        <v>75</v>
      </c>
      <c r="G73" s="181"/>
    </row>
    <row r="74" spans="1:7" ht="15.75">
      <c r="A74" s="181" t="s">
        <v>102</v>
      </c>
      <c r="B74" s="181" t="s">
        <v>410</v>
      </c>
      <c r="C74" s="181" t="s">
        <v>68</v>
      </c>
      <c r="D74" s="181" t="s">
        <v>75</v>
      </c>
      <c r="E74" s="181" t="s">
        <v>75</v>
      </c>
      <c r="F74" s="181" t="s">
        <v>75</v>
      </c>
      <c r="G74" s="181" t="s">
        <v>89</v>
      </c>
    </row>
    <row r="75" spans="1:7" ht="15.75">
      <c r="A75" s="181" t="s">
        <v>103</v>
      </c>
      <c r="B75" s="181" t="s">
        <v>411</v>
      </c>
      <c r="C75" s="181" t="s">
        <v>68</v>
      </c>
      <c r="D75" s="181" t="s">
        <v>75</v>
      </c>
      <c r="E75" s="181" t="s">
        <v>75</v>
      </c>
      <c r="F75" s="181" t="s">
        <v>75</v>
      </c>
      <c r="G75" s="181"/>
    </row>
    <row r="76" spans="1:7" ht="31.5">
      <c r="A76" s="181" t="s">
        <v>103</v>
      </c>
      <c r="B76" s="181" t="s">
        <v>412</v>
      </c>
      <c r="C76" s="181" t="s">
        <v>68</v>
      </c>
      <c r="D76" s="181" t="s">
        <v>82</v>
      </c>
      <c r="E76" s="181" t="s">
        <v>408</v>
      </c>
      <c r="F76" s="181" t="s">
        <v>408</v>
      </c>
      <c r="G76" s="181"/>
    </row>
    <row r="77" spans="1:7" ht="15.75">
      <c r="A77" s="181" t="s">
        <v>103</v>
      </c>
      <c r="B77" s="181" t="s">
        <v>413</v>
      </c>
      <c r="C77" s="181" t="s">
        <v>299</v>
      </c>
      <c r="D77" s="181" t="s">
        <v>82</v>
      </c>
      <c r="E77" s="181" t="s">
        <v>293</v>
      </c>
      <c r="F77" s="181" t="s">
        <v>293</v>
      </c>
      <c r="G77" s="181"/>
    </row>
    <row r="78" spans="1:7" ht="15.75">
      <c r="A78" s="181" t="s">
        <v>104</v>
      </c>
      <c r="B78" s="181"/>
      <c r="C78" s="181" t="s">
        <v>68</v>
      </c>
      <c r="D78" s="181" t="s">
        <v>75</v>
      </c>
      <c r="E78" s="181" t="s">
        <v>75</v>
      </c>
      <c r="F78" s="181" t="s">
        <v>75</v>
      </c>
      <c r="G78" s="181"/>
    </row>
    <row r="79" spans="1:7" ht="15.75">
      <c r="A79" s="181" t="s">
        <v>105</v>
      </c>
      <c r="B79" s="181"/>
      <c r="C79" s="181" t="s">
        <v>68</v>
      </c>
      <c r="D79" s="181" t="s">
        <v>82</v>
      </c>
      <c r="E79" s="181" t="s">
        <v>82</v>
      </c>
      <c r="F79" s="181" t="s">
        <v>82</v>
      </c>
      <c r="G79" s="181"/>
    </row>
    <row r="80" spans="1:7" ht="63">
      <c r="A80" s="181" t="s">
        <v>106</v>
      </c>
      <c r="B80" s="181"/>
      <c r="C80" s="181" t="s">
        <v>0</v>
      </c>
      <c r="D80" s="181" t="s">
        <v>82</v>
      </c>
      <c r="E80" s="181" t="s">
        <v>291</v>
      </c>
      <c r="F80" s="181" t="s">
        <v>291</v>
      </c>
      <c r="G80" s="181" t="s">
        <v>414</v>
      </c>
    </row>
    <row r="81" spans="1:7" ht="31.5">
      <c r="A81" s="181" t="s">
        <v>107</v>
      </c>
      <c r="B81" s="181" t="s">
        <v>108</v>
      </c>
      <c r="C81" s="181" t="s">
        <v>415</v>
      </c>
      <c r="D81" s="181" t="s">
        <v>69</v>
      </c>
      <c r="E81" s="181" t="s">
        <v>75</v>
      </c>
      <c r="F81" s="181" t="s">
        <v>75</v>
      </c>
      <c r="G81" s="181"/>
    </row>
    <row r="82" spans="1:7" ht="15.75">
      <c r="A82" s="181" t="s">
        <v>107</v>
      </c>
      <c r="B82" s="181" t="s">
        <v>416</v>
      </c>
      <c r="C82" s="181" t="s">
        <v>417</v>
      </c>
      <c r="D82" s="181" t="s">
        <v>109</v>
      </c>
      <c r="E82" s="181" t="s">
        <v>75</v>
      </c>
      <c r="F82" s="181" t="s">
        <v>75</v>
      </c>
      <c r="G82" s="181"/>
    </row>
    <row r="83" spans="1:7" ht="31.5">
      <c r="A83" s="181" t="s">
        <v>107</v>
      </c>
      <c r="B83" s="181" t="s">
        <v>110</v>
      </c>
      <c r="C83" s="181" t="s">
        <v>415</v>
      </c>
      <c r="D83" s="181" t="s">
        <v>111</v>
      </c>
      <c r="E83" s="181" t="s">
        <v>75</v>
      </c>
      <c r="F83" s="181" t="s">
        <v>75</v>
      </c>
      <c r="G83" s="181"/>
    </row>
    <row r="84" spans="1:7" ht="31.5">
      <c r="A84" s="181" t="s">
        <v>107</v>
      </c>
      <c r="B84" s="181" t="s">
        <v>418</v>
      </c>
      <c r="C84" s="181" t="s">
        <v>368</v>
      </c>
      <c r="D84" s="181" t="s">
        <v>419</v>
      </c>
      <c r="E84" s="181" t="s">
        <v>420</v>
      </c>
      <c r="F84" s="181" t="s">
        <v>420</v>
      </c>
      <c r="G84" s="181"/>
    </row>
    <row r="85" spans="1:7" ht="31.5">
      <c r="A85" s="181" t="s">
        <v>112</v>
      </c>
      <c r="B85" s="181" t="s">
        <v>113</v>
      </c>
      <c r="C85" s="181" t="s">
        <v>68</v>
      </c>
      <c r="D85" s="181" t="s">
        <v>69</v>
      </c>
      <c r="E85" s="181" t="s">
        <v>75</v>
      </c>
      <c r="F85" s="181" t="s">
        <v>75</v>
      </c>
      <c r="G85" s="181"/>
    </row>
    <row r="86" spans="1:7" ht="31.5">
      <c r="A86" s="181" t="s">
        <v>112</v>
      </c>
      <c r="B86" s="181" t="s">
        <v>114</v>
      </c>
      <c r="C86" s="181" t="s">
        <v>68</v>
      </c>
      <c r="D86" s="181" t="s">
        <v>111</v>
      </c>
      <c r="E86" s="181" t="s">
        <v>75</v>
      </c>
      <c r="F86" s="181" t="s">
        <v>75</v>
      </c>
      <c r="G86" s="181"/>
    </row>
    <row r="87" spans="1:7" ht="31.5">
      <c r="A87" s="181" t="s">
        <v>112</v>
      </c>
      <c r="B87" s="181" t="s">
        <v>115</v>
      </c>
      <c r="C87" s="181" t="s">
        <v>68</v>
      </c>
      <c r="D87" s="181" t="s">
        <v>111</v>
      </c>
      <c r="E87" s="181" t="s">
        <v>421</v>
      </c>
      <c r="F87" s="181" t="s">
        <v>421</v>
      </c>
      <c r="G87" s="181"/>
    </row>
    <row r="88" spans="1:7" ht="31.5">
      <c r="A88" s="181" t="s">
        <v>112</v>
      </c>
      <c r="B88" s="181" t="s">
        <v>116</v>
      </c>
      <c r="C88" s="181" t="s">
        <v>68</v>
      </c>
      <c r="D88" s="181" t="s">
        <v>69</v>
      </c>
      <c r="E88" s="181" t="s">
        <v>421</v>
      </c>
      <c r="F88" s="181" t="s">
        <v>421</v>
      </c>
      <c r="G88" s="181"/>
    </row>
    <row r="89" spans="1:7" ht="31.5">
      <c r="A89" s="181" t="s">
        <v>112</v>
      </c>
      <c r="B89" s="181" t="s">
        <v>117</v>
      </c>
      <c r="C89" s="181" t="s">
        <v>68</v>
      </c>
      <c r="D89" s="181" t="s">
        <v>69</v>
      </c>
      <c r="E89" s="181" t="s">
        <v>421</v>
      </c>
      <c r="F89" s="181" t="s">
        <v>421</v>
      </c>
      <c r="G89" s="181"/>
    </row>
    <row r="90" spans="1:7" ht="47.25">
      <c r="A90" s="181" t="s">
        <v>112</v>
      </c>
      <c r="B90" s="181" t="s">
        <v>422</v>
      </c>
      <c r="C90" s="181" t="s">
        <v>68</v>
      </c>
      <c r="D90" s="181" t="s">
        <v>423</v>
      </c>
      <c r="E90" s="181" t="s">
        <v>424</v>
      </c>
      <c r="F90" s="181" t="s">
        <v>424</v>
      </c>
      <c r="G90" s="181"/>
    </row>
    <row r="91" spans="1:7" ht="15.75">
      <c r="A91" s="181" t="s">
        <v>112</v>
      </c>
      <c r="B91" s="181" t="s">
        <v>425</v>
      </c>
      <c r="C91" s="181" t="s">
        <v>68</v>
      </c>
      <c r="D91" s="181" t="s">
        <v>82</v>
      </c>
      <c r="E91" s="181" t="s">
        <v>426</v>
      </c>
      <c r="F91" s="181" t="s">
        <v>426</v>
      </c>
      <c r="G91" s="181"/>
    </row>
    <row r="92" spans="1:7" ht="15.75">
      <c r="A92" s="181" t="s">
        <v>112</v>
      </c>
      <c r="B92" s="181" t="s">
        <v>427</v>
      </c>
      <c r="C92" s="181" t="s">
        <v>336</v>
      </c>
      <c r="D92" s="181" t="s">
        <v>82</v>
      </c>
      <c r="E92" s="181" t="s">
        <v>428</v>
      </c>
      <c r="F92" s="181" t="s">
        <v>428</v>
      </c>
      <c r="G92" s="181"/>
    </row>
    <row r="93" spans="1:7" ht="15.75">
      <c r="A93" s="181" t="s">
        <v>429</v>
      </c>
      <c r="B93" s="181" t="s">
        <v>430</v>
      </c>
      <c r="C93" s="181" t="s">
        <v>68</v>
      </c>
      <c r="D93" s="181" t="s">
        <v>82</v>
      </c>
      <c r="E93" s="181" t="s">
        <v>293</v>
      </c>
      <c r="F93" s="181" t="s">
        <v>293</v>
      </c>
      <c r="G93" s="181"/>
    </row>
    <row r="94" spans="1:7" ht="110.25">
      <c r="A94" s="181" t="s">
        <v>429</v>
      </c>
      <c r="B94" s="181" t="s">
        <v>431</v>
      </c>
      <c r="C94" s="181" t="s">
        <v>68</v>
      </c>
      <c r="D94" s="181" t="s">
        <v>82</v>
      </c>
      <c r="E94" s="181" t="s">
        <v>428</v>
      </c>
      <c r="F94" s="181" t="s">
        <v>428</v>
      </c>
      <c r="G94" s="181"/>
    </row>
    <row r="95" spans="1:7" ht="15.75">
      <c r="A95" s="181" t="s">
        <v>118</v>
      </c>
      <c r="B95" s="181" t="s">
        <v>119</v>
      </c>
      <c r="C95" s="181" t="s">
        <v>68</v>
      </c>
      <c r="D95" s="181" t="s">
        <v>75</v>
      </c>
      <c r="E95" s="181" t="s">
        <v>75</v>
      </c>
      <c r="F95" s="181" t="s">
        <v>75</v>
      </c>
      <c r="G95" s="181"/>
    </row>
    <row r="96" spans="1:7" ht="15.75">
      <c r="A96" s="181" t="s">
        <v>432</v>
      </c>
      <c r="B96" s="181" t="s">
        <v>433</v>
      </c>
      <c r="C96" s="181" t="s">
        <v>299</v>
      </c>
      <c r="D96" s="181" t="s">
        <v>82</v>
      </c>
      <c r="E96" s="181" t="s">
        <v>434</v>
      </c>
      <c r="F96" s="181" t="s">
        <v>434</v>
      </c>
      <c r="G96" s="181"/>
    </row>
    <row r="97" spans="1:7" ht="15.75">
      <c r="A97" s="181" t="s">
        <v>120</v>
      </c>
      <c r="B97" s="181" t="s">
        <v>121</v>
      </c>
      <c r="C97" s="181" t="s">
        <v>68</v>
      </c>
      <c r="D97" s="181" t="s">
        <v>75</v>
      </c>
      <c r="E97" s="181" t="s">
        <v>75</v>
      </c>
      <c r="F97" s="181" t="s">
        <v>75</v>
      </c>
      <c r="G97" s="181"/>
    </row>
    <row r="98" spans="1:7" ht="47.25">
      <c r="A98" s="181" t="s">
        <v>120</v>
      </c>
      <c r="B98" s="181" t="s">
        <v>122</v>
      </c>
      <c r="C98" s="181" t="s">
        <v>435</v>
      </c>
      <c r="D98" s="181" t="s">
        <v>123</v>
      </c>
      <c r="E98" s="181" t="s">
        <v>428</v>
      </c>
      <c r="F98" s="181" t="s">
        <v>428</v>
      </c>
      <c r="G98" s="181"/>
    </row>
    <row r="99" spans="1:7" ht="63">
      <c r="A99" s="181" t="s">
        <v>120</v>
      </c>
      <c r="B99" s="181" t="s">
        <v>122</v>
      </c>
      <c r="C99" s="181" t="s">
        <v>436</v>
      </c>
      <c r="D99" s="181" t="s">
        <v>124</v>
      </c>
      <c r="E99" s="181" t="s">
        <v>293</v>
      </c>
      <c r="F99" s="181" t="s">
        <v>293</v>
      </c>
      <c r="G99" s="181"/>
    </row>
    <row r="100" spans="1:7" ht="15.75">
      <c r="A100" s="181" t="s">
        <v>120</v>
      </c>
      <c r="B100" s="181" t="s">
        <v>122</v>
      </c>
      <c r="C100" s="181" t="s">
        <v>437</v>
      </c>
      <c r="D100" s="181" t="s">
        <v>82</v>
      </c>
      <c r="E100" s="181" t="s">
        <v>14</v>
      </c>
      <c r="F100" s="181" t="s">
        <v>14</v>
      </c>
      <c r="G100" s="181"/>
    </row>
    <row r="101" spans="1:7" ht="15.75">
      <c r="A101" s="181" t="s">
        <v>120</v>
      </c>
      <c r="B101" s="181" t="s">
        <v>438</v>
      </c>
      <c r="C101" s="181" t="s">
        <v>439</v>
      </c>
      <c r="D101" s="181" t="s">
        <v>125</v>
      </c>
      <c r="E101" s="181" t="s">
        <v>440</v>
      </c>
      <c r="F101" s="181" t="s">
        <v>440</v>
      </c>
      <c r="G101" s="181"/>
    </row>
    <row r="102" spans="1:7" ht="47.25">
      <c r="A102" s="181" t="s">
        <v>120</v>
      </c>
      <c r="B102" s="181" t="s">
        <v>438</v>
      </c>
      <c r="C102" s="181" t="s">
        <v>441</v>
      </c>
      <c r="D102" s="181" t="s">
        <v>126</v>
      </c>
      <c r="E102" s="181" t="s">
        <v>304</v>
      </c>
      <c r="F102" s="181" t="s">
        <v>304</v>
      </c>
      <c r="G102" s="181"/>
    </row>
    <row r="103" spans="1:7" ht="31.5">
      <c r="A103" s="181" t="s">
        <v>120</v>
      </c>
      <c r="B103" s="181" t="s">
        <v>438</v>
      </c>
      <c r="C103" s="181" t="s">
        <v>442</v>
      </c>
      <c r="D103" s="181" t="s">
        <v>127</v>
      </c>
      <c r="E103" s="181" t="s">
        <v>443</v>
      </c>
      <c r="F103" s="181" t="s">
        <v>443</v>
      </c>
      <c r="G103" s="181"/>
    </row>
    <row r="104" spans="1:7" ht="31.5" hidden="1">
      <c r="A104" s="181" t="s">
        <v>120</v>
      </c>
      <c r="B104" s="181" t="s">
        <v>438</v>
      </c>
      <c r="C104" s="181" t="s">
        <v>444</v>
      </c>
      <c r="D104" s="181" t="s">
        <v>124</v>
      </c>
      <c r="E104" s="181" t="s">
        <v>293</v>
      </c>
      <c r="F104" s="181" t="s">
        <v>293</v>
      </c>
      <c r="G104" s="181"/>
    </row>
    <row r="105" spans="1:7" ht="47.25">
      <c r="A105" s="181" t="s">
        <v>120</v>
      </c>
      <c r="B105" s="181" t="s">
        <v>438</v>
      </c>
      <c r="C105" s="181" t="s">
        <v>445</v>
      </c>
      <c r="D105" s="181" t="s">
        <v>128</v>
      </c>
      <c r="E105" s="181" t="s">
        <v>426</v>
      </c>
      <c r="F105" s="181" t="s">
        <v>426</v>
      </c>
      <c r="G105" s="181"/>
    </row>
    <row r="106" spans="1:7" ht="31.5">
      <c r="A106" s="181" t="s">
        <v>120</v>
      </c>
      <c r="B106" s="181" t="s">
        <v>438</v>
      </c>
      <c r="C106" s="181" t="s">
        <v>446</v>
      </c>
      <c r="D106" s="181" t="s">
        <v>128</v>
      </c>
      <c r="E106" s="181" t="s">
        <v>426</v>
      </c>
      <c r="F106" s="181" t="s">
        <v>426</v>
      </c>
      <c r="G106" s="181"/>
    </row>
    <row r="107" spans="1:7" ht="31.5">
      <c r="A107" s="181" t="s">
        <v>120</v>
      </c>
      <c r="B107" s="181" t="s">
        <v>438</v>
      </c>
      <c r="C107" s="181" t="s">
        <v>447</v>
      </c>
      <c r="D107" s="181" t="s">
        <v>123</v>
      </c>
      <c r="E107" s="181" t="s">
        <v>428</v>
      </c>
      <c r="F107" s="181" t="s">
        <v>428</v>
      </c>
      <c r="G107" s="181"/>
    </row>
    <row r="108" spans="1:7" ht="31.5">
      <c r="A108" s="181" t="s">
        <v>120</v>
      </c>
      <c r="B108" s="181" t="s">
        <v>438</v>
      </c>
      <c r="C108" s="181" t="s">
        <v>448</v>
      </c>
      <c r="D108" s="181" t="s">
        <v>123</v>
      </c>
      <c r="E108" s="181" t="s">
        <v>428</v>
      </c>
      <c r="F108" s="181" t="s">
        <v>428</v>
      </c>
      <c r="G108" s="181"/>
    </row>
    <row r="109" spans="1:7" ht="15.75">
      <c r="A109" s="181" t="s">
        <v>120</v>
      </c>
      <c r="B109" s="181" t="s">
        <v>438</v>
      </c>
      <c r="C109" s="181" t="s">
        <v>449</v>
      </c>
      <c r="D109" s="181" t="s">
        <v>126</v>
      </c>
      <c r="E109" s="181" t="s">
        <v>304</v>
      </c>
      <c r="F109" s="181" t="s">
        <v>304</v>
      </c>
      <c r="G109" s="181"/>
    </row>
    <row r="110" spans="1:7" ht="31.5">
      <c r="A110" s="181" t="s">
        <v>120</v>
      </c>
      <c r="B110" s="181" t="s">
        <v>438</v>
      </c>
      <c r="C110" s="181" t="s">
        <v>450</v>
      </c>
      <c r="D110" s="181" t="s">
        <v>124</v>
      </c>
      <c r="E110" s="181" t="s">
        <v>293</v>
      </c>
      <c r="F110" s="181" t="s">
        <v>293</v>
      </c>
      <c r="G110" s="181"/>
    </row>
    <row r="111" spans="1:7" ht="31.5">
      <c r="A111" s="181" t="s">
        <v>120</v>
      </c>
      <c r="B111" s="181" t="s">
        <v>129</v>
      </c>
      <c r="C111" s="181" t="s">
        <v>451</v>
      </c>
      <c r="D111" s="181" t="s">
        <v>124</v>
      </c>
      <c r="E111" s="181" t="s">
        <v>293</v>
      </c>
      <c r="F111" s="181" t="s">
        <v>293</v>
      </c>
      <c r="G111" s="181"/>
    </row>
    <row r="112" spans="1:7" ht="47.25">
      <c r="A112" s="181" t="s">
        <v>130</v>
      </c>
      <c r="B112" s="181" t="s">
        <v>452</v>
      </c>
      <c r="C112" s="181" t="s">
        <v>453</v>
      </c>
      <c r="D112" s="181" t="s">
        <v>82</v>
      </c>
      <c r="E112" s="181" t="s">
        <v>75</v>
      </c>
      <c r="F112" s="181" t="s">
        <v>75</v>
      </c>
      <c r="G112" s="181"/>
    </row>
    <row r="113" spans="1:7" ht="15.75">
      <c r="A113" s="181" t="s">
        <v>130</v>
      </c>
      <c r="B113" s="181" t="s">
        <v>452</v>
      </c>
      <c r="C113" s="181" t="s">
        <v>454</v>
      </c>
      <c r="D113" s="181" t="s">
        <v>82</v>
      </c>
      <c r="E113" s="181" t="s">
        <v>455</v>
      </c>
      <c r="F113" s="181" t="s">
        <v>455</v>
      </c>
      <c r="G113" s="181"/>
    </row>
    <row r="114" spans="1:7" ht="15.75">
      <c r="A114" s="181" t="s">
        <v>130</v>
      </c>
      <c r="B114" s="181" t="s">
        <v>452</v>
      </c>
      <c r="C114" s="181" t="s">
        <v>456</v>
      </c>
      <c r="D114" s="181" t="s">
        <v>82</v>
      </c>
      <c r="E114" s="181" t="s">
        <v>457</v>
      </c>
      <c r="F114" s="181" t="s">
        <v>457</v>
      </c>
      <c r="G114" s="181"/>
    </row>
    <row r="115" spans="1:7" ht="31.5">
      <c r="A115" s="181" t="s">
        <v>130</v>
      </c>
      <c r="B115" s="181" t="s">
        <v>452</v>
      </c>
      <c r="C115" s="181" t="s">
        <v>458</v>
      </c>
      <c r="D115" s="181" t="s">
        <v>82</v>
      </c>
      <c r="E115" s="181" t="s">
        <v>291</v>
      </c>
      <c r="F115" s="181" t="s">
        <v>291</v>
      </c>
      <c r="G115" s="181"/>
    </row>
    <row r="116" spans="1:7" ht="31.5">
      <c r="A116" s="181" t="s">
        <v>130</v>
      </c>
      <c r="B116" s="181" t="s">
        <v>452</v>
      </c>
      <c r="C116" s="181" t="s">
        <v>459</v>
      </c>
      <c r="D116" s="181" t="s">
        <v>82</v>
      </c>
      <c r="E116" s="181" t="s">
        <v>316</v>
      </c>
      <c r="F116" s="181" t="s">
        <v>316</v>
      </c>
      <c r="G116" s="181"/>
    </row>
    <row r="117" spans="1:7" ht="31.5">
      <c r="A117" s="181" t="s">
        <v>130</v>
      </c>
      <c r="B117" s="181" t="s">
        <v>460</v>
      </c>
      <c r="C117" s="181" t="s">
        <v>461</v>
      </c>
      <c r="D117" s="181" t="s">
        <v>82</v>
      </c>
      <c r="E117" s="181" t="s">
        <v>75</v>
      </c>
      <c r="F117" s="181" t="s">
        <v>75</v>
      </c>
      <c r="G117" s="181"/>
    </row>
    <row r="118" spans="1:7" ht="15.75">
      <c r="A118" s="181" t="s">
        <v>130</v>
      </c>
      <c r="B118" s="181" t="s">
        <v>460</v>
      </c>
      <c r="C118" s="181" t="s">
        <v>462</v>
      </c>
      <c r="D118" s="181" t="s">
        <v>82</v>
      </c>
      <c r="E118" s="181" t="s">
        <v>455</v>
      </c>
      <c r="F118" s="181" t="s">
        <v>455</v>
      </c>
      <c r="G118" s="181"/>
    </row>
    <row r="119" spans="1:7" ht="15.75">
      <c r="A119" s="181" t="s">
        <v>130</v>
      </c>
      <c r="B119" s="181" t="s">
        <v>460</v>
      </c>
      <c r="C119" s="181" t="s">
        <v>463</v>
      </c>
      <c r="D119" s="181" t="s">
        <v>82</v>
      </c>
      <c r="E119" s="181" t="s">
        <v>457</v>
      </c>
      <c r="F119" s="181" t="s">
        <v>457</v>
      </c>
      <c r="G119" s="181"/>
    </row>
    <row r="120" spans="1:7" ht="31.5">
      <c r="A120" s="181" t="s">
        <v>130</v>
      </c>
      <c r="B120" s="181" t="s">
        <v>460</v>
      </c>
      <c r="C120" s="181" t="s">
        <v>458</v>
      </c>
      <c r="D120" s="181" t="s">
        <v>82</v>
      </c>
      <c r="E120" s="181" t="s">
        <v>291</v>
      </c>
      <c r="F120" s="181" t="s">
        <v>291</v>
      </c>
      <c r="G120" s="181"/>
    </row>
    <row r="121" spans="1:7" ht="31.5">
      <c r="A121" s="181" t="s">
        <v>130</v>
      </c>
      <c r="B121" s="181" t="s">
        <v>460</v>
      </c>
      <c r="C121" s="181" t="s">
        <v>459</v>
      </c>
      <c r="D121" s="181" t="s">
        <v>82</v>
      </c>
      <c r="E121" s="181" t="s">
        <v>316</v>
      </c>
      <c r="F121" s="181" t="s">
        <v>316</v>
      </c>
      <c r="G121" s="181"/>
    </row>
    <row r="122" spans="1:7" ht="31.5">
      <c r="A122" s="181" t="s">
        <v>130</v>
      </c>
      <c r="B122" s="181" t="s">
        <v>464</v>
      </c>
      <c r="C122" s="181" t="s">
        <v>465</v>
      </c>
      <c r="D122" s="181" t="s">
        <v>82</v>
      </c>
      <c r="E122" s="181" t="s">
        <v>75</v>
      </c>
      <c r="F122" s="181" t="s">
        <v>75</v>
      </c>
      <c r="G122" s="181"/>
    </row>
    <row r="123" spans="1:7" ht="15.75">
      <c r="A123" s="181" t="s">
        <v>130</v>
      </c>
      <c r="B123" s="181" t="s">
        <v>464</v>
      </c>
      <c r="C123" s="181" t="s">
        <v>462</v>
      </c>
      <c r="D123" s="181" t="s">
        <v>82</v>
      </c>
      <c r="E123" s="181" t="s">
        <v>455</v>
      </c>
      <c r="F123" s="181" t="s">
        <v>455</v>
      </c>
      <c r="G123" s="181"/>
    </row>
    <row r="124" spans="1:7" ht="15.75">
      <c r="A124" s="181" t="s">
        <v>130</v>
      </c>
      <c r="B124" s="181" t="s">
        <v>464</v>
      </c>
      <c r="C124" s="181" t="s">
        <v>463</v>
      </c>
      <c r="D124" s="181" t="s">
        <v>82</v>
      </c>
      <c r="E124" s="181" t="s">
        <v>457</v>
      </c>
      <c r="F124" s="181" t="s">
        <v>457</v>
      </c>
      <c r="G124" s="181"/>
    </row>
    <row r="125" spans="1:7" ht="31.5">
      <c r="A125" s="181" t="s">
        <v>130</v>
      </c>
      <c r="B125" s="181" t="s">
        <v>464</v>
      </c>
      <c r="C125" s="181" t="s">
        <v>458</v>
      </c>
      <c r="D125" s="181" t="s">
        <v>82</v>
      </c>
      <c r="E125" s="181" t="s">
        <v>291</v>
      </c>
      <c r="F125" s="181" t="s">
        <v>291</v>
      </c>
      <c r="G125" s="181"/>
    </row>
    <row r="126" spans="1:7" ht="31.5">
      <c r="A126" s="181" t="s">
        <v>130</v>
      </c>
      <c r="B126" s="181" t="s">
        <v>464</v>
      </c>
      <c r="C126" s="181" t="s">
        <v>459</v>
      </c>
      <c r="D126" s="181" t="s">
        <v>82</v>
      </c>
      <c r="E126" s="181" t="s">
        <v>316</v>
      </c>
      <c r="F126" s="181" t="s">
        <v>316</v>
      </c>
      <c r="G126" s="181"/>
    </row>
    <row r="127" spans="1:7" ht="31.5">
      <c r="A127" s="181" t="s">
        <v>466</v>
      </c>
      <c r="B127" s="181" t="s">
        <v>467</v>
      </c>
      <c r="C127" s="181" t="s">
        <v>68</v>
      </c>
      <c r="D127" s="181" t="s">
        <v>339</v>
      </c>
      <c r="E127" s="181" t="s">
        <v>339</v>
      </c>
      <c r="F127" s="181" t="s">
        <v>339</v>
      </c>
      <c r="G127" s="181"/>
    </row>
    <row r="128" spans="1:7" ht="31.5">
      <c r="A128" s="181" t="s">
        <v>131</v>
      </c>
      <c r="B128" s="181" t="s">
        <v>132</v>
      </c>
      <c r="C128" s="181" t="s">
        <v>468</v>
      </c>
      <c r="D128" s="181" t="s">
        <v>75</v>
      </c>
      <c r="E128" s="181" t="s">
        <v>75</v>
      </c>
      <c r="F128" s="181" t="s">
        <v>75</v>
      </c>
      <c r="G128" s="181" t="s">
        <v>133</v>
      </c>
    </row>
    <row r="129" spans="1:7" ht="31.5">
      <c r="A129" s="181" t="s">
        <v>131</v>
      </c>
      <c r="B129" s="181" t="s">
        <v>132</v>
      </c>
      <c r="C129" s="181" t="s">
        <v>469</v>
      </c>
      <c r="D129" s="181" t="s">
        <v>75</v>
      </c>
      <c r="E129" s="181" t="s">
        <v>470</v>
      </c>
      <c r="F129" s="181" t="s">
        <v>470</v>
      </c>
      <c r="G129" s="181" t="s">
        <v>133</v>
      </c>
    </row>
    <row r="130" spans="1:7" ht="31.5">
      <c r="A130" s="181" t="s">
        <v>131</v>
      </c>
      <c r="B130" s="181" t="s">
        <v>134</v>
      </c>
      <c r="C130" s="181" t="s">
        <v>135</v>
      </c>
      <c r="D130" s="181" t="s">
        <v>75</v>
      </c>
      <c r="E130" s="181" t="s">
        <v>471</v>
      </c>
      <c r="F130" s="181" t="s">
        <v>471</v>
      </c>
      <c r="G130" s="181" t="s">
        <v>133</v>
      </c>
    </row>
    <row r="131" spans="1:7" ht="31.5">
      <c r="A131" s="181" t="s">
        <v>131</v>
      </c>
      <c r="B131" s="181" t="s">
        <v>134</v>
      </c>
      <c r="C131" s="181" t="s">
        <v>472</v>
      </c>
      <c r="D131" s="181" t="s">
        <v>75</v>
      </c>
      <c r="E131" s="181" t="s">
        <v>473</v>
      </c>
      <c r="F131" s="181" t="s">
        <v>473</v>
      </c>
      <c r="G131" s="181" t="s">
        <v>133</v>
      </c>
    </row>
    <row r="132" spans="1:7" ht="15.75">
      <c r="A132" s="181" t="s">
        <v>131</v>
      </c>
      <c r="B132" s="181" t="s">
        <v>136</v>
      </c>
      <c r="C132" s="181" t="s">
        <v>137</v>
      </c>
      <c r="D132" s="181" t="s">
        <v>75</v>
      </c>
      <c r="E132" s="181" t="s">
        <v>474</v>
      </c>
      <c r="F132" s="181" t="s">
        <v>474</v>
      </c>
      <c r="G132" s="181" t="s">
        <v>133</v>
      </c>
    </row>
    <row r="133" spans="1:7" ht="47.25">
      <c r="A133" s="181" t="s">
        <v>131</v>
      </c>
      <c r="B133" s="181" t="s">
        <v>136</v>
      </c>
      <c r="C133" s="181" t="s">
        <v>138</v>
      </c>
      <c r="D133" s="181" t="s">
        <v>75</v>
      </c>
      <c r="E133" s="181" t="s">
        <v>75</v>
      </c>
      <c r="F133" s="181" t="s">
        <v>75</v>
      </c>
      <c r="G133" s="181" t="s">
        <v>133</v>
      </c>
    </row>
    <row r="134" spans="1:7" ht="47.25">
      <c r="A134" s="181" t="s">
        <v>131</v>
      </c>
      <c r="B134" s="181" t="s">
        <v>136</v>
      </c>
      <c r="C134" s="181" t="s">
        <v>139</v>
      </c>
      <c r="D134" s="181" t="s">
        <v>75</v>
      </c>
      <c r="E134" s="181" t="s">
        <v>475</v>
      </c>
      <c r="F134" s="181" t="s">
        <v>475</v>
      </c>
      <c r="G134" s="181" t="s">
        <v>133</v>
      </c>
    </row>
    <row r="135" spans="1:7" ht="63">
      <c r="A135" s="181" t="s">
        <v>131</v>
      </c>
      <c r="B135" s="181" t="s">
        <v>476</v>
      </c>
      <c r="C135" s="181" t="s">
        <v>68</v>
      </c>
      <c r="D135" s="181" t="s">
        <v>419</v>
      </c>
      <c r="E135" s="181" t="s">
        <v>477</v>
      </c>
      <c r="F135" s="181" t="s">
        <v>477</v>
      </c>
      <c r="G135" s="181"/>
    </row>
    <row r="136" spans="1:7" ht="31.5">
      <c r="A136" s="181" t="s">
        <v>131</v>
      </c>
      <c r="B136" s="181" t="s">
        <v>478</v>
      </c>
      <c r="C136" s="181" t="s">
        <v>299</v>
      </c>
      <c r="D136" s="181" t="s">
        <v>82</v>
      </c>
      <c r="E136" s="181" t="s">
        <v>293</v>
      </c>
      <c r="F136" s="181" t="s">
        <v>293</v>
      </c>
      <c r="G136" s="181"/>
    </row>
    <row r="137" spans="1:7" ht="15.75">
      <c r="A137" s="181" t="s">
        <v>479</v>
      </c>
      <c r="B137" s="181" t="s">
        <v>480</v>
      </c>
      <c r="C137" s="181" t="s">
        <v>299</v>
      </c>
      <c r="D137" s="181" t="s">
        <v>82</v>
      </c>
      <c r="E137" s="181" t="s">
        <v>434</v>
      </c>
      <c r="F137" s="181" t="s">
        <v>434</v>
      </c>
      <c r="G137" s="181"/>
    </row>
    <row r="138" spans="1:7" ht="31.5">
      <c r="A138" s="181" t="s">
        <v>479</v>
      </c>
      <c r="B138" s="181" t="s">
        <v>481</v>
      </c>
      <c r="C138" s="181" t="s">
        <v>299</v>
      </c>
      <c r="D138" s="181" t="s">
        <v>82</v>
      </c>
      <c r="E138" s="181" t="s">
        <v>482</v>
      </c>
      <c r="F138" s="181" t="s">
        <v>482</v>
      </c>
      <c r="G138" s="181"/>
    </row>
    <row r="139" spans="1:7" ht="15.75">
      <c r="A139" s="181" t="s">
        <v>140</v>
      </c>
      <c r="B139" s="181"/>
      <c r="C139" s="181" t="s">
        <v>68</v>
      </c>
      <c r="D139" s="181" t="s">
        <v>141</v>
      </c>
      <c r="E139" s="181" t="s">
        <v>75</v>
      </c>
      <c r="F139" s="181" t="s">
        <v>75</v>
      </c>
      <c r="G139" s="181"/>
    </row>
    <row r="140" spans="1:7" ht="15.75">
      <c r="A140" s="181" t="s">
        <v>142</v>
      </c>
      <c r="B140" s="181" t="s">
        <v>483</v>
      </c>
      <c r="C140" s="181" t="s">
        <v>68</v>
      </c>
      <c r="D140" s="181" t="s">
        <v>75</v>
      </c>
      <c r="E140" s="181" t="s">
        <v>75</v>
      </c>
      <c r="F140" s="181" t="s">
        <v>75</v>
      </c>
      <c r="G140" s="181"/>
    </row>
    <row r="141" spans="1:7" ht="15.75">
      <c r="A141" s="181" t="s">
        <v>142</v>
      </c>
      <c r="B141" s="181" t="s">
        <v>484</v>
      </c>
      <c r="C141" s="181" t="s">
        <v>68</v>
      </c>
      <c r="D141" s="181" t="s">
        <v>75</v>
      </c>
      <c r="E141" s="181" t="s">
        <v>386</v>
      </c>
      <c r="F141" s="181" t="s">
        <v>386</v>
      </c>
      <c r="G141" s="181" t="s">
        <v>485</v>
      </c>
    </row>
    <row r="142" spans="1:7" ht="15.75">
      <c r="A142" s="181" t="s">
        <v>143</v>
      </c>
      <c r="B142" s="181"/>
      <c r="C142" s="181" t="s">
        <v>68</v>
      </c>
      <c r="D142" s="181" t="s">
        <v>75</v>
      </c>
      <c r="E142" s="181" t="s">
        <v>75</v>
      </c>
      <c r="F142" s="181" t="s">
        <v>75</v>
      </c>
      <c r="G142" s="181"/>
    </row>
    <row r="143" spans="1:7" ht="47.25">
      <c r="A143" s="181" t="s">
        <v>486</v>
      </c>
      <c r="B143" s="181" t="s">
        <v>487</v>
      </c>
      <c r="C143" s="181" t="s">
        <v>299</v>
      </c>
      <c r="D143" s="181" t="s">
        <v>82</v>
      </c>
      <c r="E143" s="181" t="s">
        <v>293</v>
      </c>
      <c r="F143" s="181" t="s">
        <v>293</v>
      </c>
      <c r="G143" s="181"/>
    </row>
    <row r="144" spans="1:7" ht="15.75">
      <c r="A144" s="181" t="s">
        <v>144</v>
      </c>
      <c r="B144" s="181" t="s">
        <v>488</v>
      </c>
      <c r="C144" s="181" t="s">
        <v>68</v>
      </c>
      <c r="D144" s="181" t="s">
        <v>69</v>
      </c>
      <c r="E144" s="181" t="s">
        <v>310</v>
      </c>
      <c r="F144" s="181" t="s">
        <v>310</v>
      </c>
      <c r="G144" s="181" t="s">
        <v>70</v>
      </c>
    </row>
    <row r="145" spans="1:7" ht="15.75">
      <c r="A145" s="181" t="s">
        <v>144</v>
      </c>
      <c r="B145" s="181" t="s">
        <v>489</v>
      </c>
      <c r="C145" s="181" t="s">
        <v>68</v>
      </c>
      <c r="D145" s="181" t="s">
        <v>69</v>
      </c>
      <c r="E145" s="181" t="s">
        <v>291</v>
      </c>
      <c r="F145" s="181" t="s">
        <v>291</v>
      </c>
      <c r="G145" s="181" t="s">
        <v>70</v>
      </c>
    </row>
    <row r="146" spans="1:7" ht="15.75">
      <c r="A146" s="181" t="s">
        <v>145</v>
      </c>
      <c r="B146" s="181" t="s">
        <v>146</v>
      </c>
      <c r="C146" s="181" t="s">
        <v>68</v>
      </c>
      <c r="D146" s="181" t="s">
        <v>69</v>
      </c>
      <c r="E146" s="181" t="s">
        <v>291</v>
      </c>
      <c r="F146" s="181" t="s">
        <v>291</v>
      </c>
      <c r="G146" s="181" t="s">
        <v>70</v>
      </c>
    </row>
    <row r="147" spans="1:7" ht="15.75">
      <c r="A147" s="181" t="s">
        <v>145</v>
      </c>
      <c r="B147" s="181" t="s">
        <v>147</v>
      </c>
      <c r="C147" s="181" t="s">
        <v>68</v>
      </c>
      <c r="D147" s="181" t="s">
        <v>69</v>
      </c>
      <c r="E147" s="181" t="s">
        <v>310</v>
      </c>
      <c r="F147" s="181" t="s">
        <v>310</v>
      </c>
      <c r="G147" s="181" t="s">
        <v>70</v>
      </c>
    </row>
    <row r="148" spans="1:7" ht="47.25">
      <c r="A148" s="181" t="s">
        <v>148</v>
      </c>
      <c r="B148" s="181" t="s">
        <v>149</v>
      </c>
      <c r="C148" s="181" t="s">
        <v>68</v>
      </c>
      <c r="D148" s="181" t="s">
        <v>75</v>
      </c>
      <c r="E148" s="181" t="s">
        <v>75</v>
      </c>
      <c r="F148" s="181" t="s">
        <v>75</v>
      </c>
      <c r="G148" s="181" t="s">
        <v>490</v>
      </c>
    </row>
    <row r="149" spans="1:7" ht="15.75">
      <c r="A149" s="181" t="s">
        <v>148</v>
      </c>
      <c r="B149" s="181" t="s">
        <v>150</v>
      </c>
      <c r="C149" s="181" t="s">
        <v>68</v>
      </c>
      <c r="D149" s="181" t="s">
        <v>75</v>
      </c>
      <c r="E149" s="181" t="s">
        <v>75</v>
      </c>
      <c r="F149" s="181" t="s">
        <v>75</v>
      </c>
      <c r="G149" s="181" t="s">
        <v>89</v>
      </c>
    </row>
    <row r="150" spans="1:7" ht="31.5">
      <c r="A150" s="181" t="s">
        <v>148</v>
      </c>
      <c r="B150" s="181" t="s">
        <v>151</v>
      </c>
      <c r="C150" s="181" t="s">
        <v>68</v>
      </c>
      <c r="D150" s="181" t="s">
        <v>491</v>
      </c>
      <c r="E150" s="181" t="s">
        <v>492</v>
      </c>
      <c r="F150" s="181" t="s">
        <v>492</v>
      </c>
      <c r="G150" s="181" t="s">
        <v>133</v>
      </c>
    </row>
    <row r="151" spans="1:7" ht="31.5">
      <c r="A151" s="181" t="s">
        <v>148</v>
      </c>
      <c r="B151" s="181" t="s">
        <v>152</v>
      </c>
      <c r="C151" s="181" t="s">
        <v>68</v>
      </c>
      <c r="D151" s="181" t="s">
        <v>491</v>
      </c>
      <c r="E151" s="181" t="s">
        <v>493</v>
      </c>
      <c r="F151" s="181" t="s">
        <v>493</v>
      </c>
      <c r="G151" s="181" t="s">
        <v>133</v>
      </c>
    </row>
    <row r="152" spans="1:7" ht="31.5">
      <c r="A152" s="181" t="s">
        <v>148</v>
      </c>
      <c r="B152" s="181" t="s">
        <v>153</v>
      </c>
      <c r="C152" s="181" t="s">
        <v>68</v>
      </c>
      <c r="D152" s="181" t="s">
        <v>494</v>
      </c>
      <c r="E152" s="181" t="s">
        <v>495</v>
      </c>
      <c r="F152" s="181" t="s">
        <v>495</v>
      </c>
      <c r="G152" s="181" t="s">
        <v>133</v>
      </c>
    </row>
    <row r="153" spans="1:7" ht="15.75">
      <c r="A153" s="181" t="s">
        <v>148</v>
      </c>
      <c r="B153" s="181" t="s">
        <v>496</v>
      </c>
      <c r="C153" s="181" t="s">
        <v>68</v>
      </c>
      <c r="D153" s="181" t="s">
        <v>75</v>
      </c>
      <c r="E153" s="181" t="s">
        <v>293</v>
      </c>
      <c r="F153" s="181" t="s">
        <v>293</v>
      </c>
      <c r="G153" s="181"/>
    </row>
    <row r="154" spans="1:7" ht="15.75">
      <c r="A154" s="181" t="s">
        <v>148</v>
      </c>
      <c r="B154" s="181" t="s">
        <v>497</v>
      </c>
      <c r="C154" s="181" t="s">
        <v>68</v>
      </c>
      <c r="D154" s="181" t="s">
        <v>75</v>
      </c>
      <c r="E154" s="181" t="s">
        <v>498</v>
      </c>
      <c r="F154" s="181" t="s">
        <v>498</v>
      </c>
      <c r="G154" s="181"/>
    </row>
    <row r="155" spans="1:7" ht="15.75">
      <c r="A155" s="181" t="s">
        <v>148</v>
      </c>
      <c r="B155" s="181" t="s">
        <v>499</v>
      </c>
      <c r="C155" s="181" t="s">
        <v>68</v>
      </c>
      <c r="D155" s="181" t="s">
        <v>75</v>
      </c>
      <c r="E155" s="181" t="s">
        <v>500</v>
      </c>
      <c r="F155" s="181" t="s">
        <v>500</v>
      </c>
      <c r="G155" s="181"/>
    </row>
    <row r="156" spans="1:7" ht="15.75">
      <c r="A156" s="181" t="s">
        <v>148</v>
      </c>
      <c r="B156" s="181" t="s">
        <v>501</v>
      </c>
      <c r="C156" s="181" t="s">
        <v>299</v>
      </c>
      <c r="D156" s="181" t="s">
        <v>82</v>
      </c>
      <c r="E156" s="181" t="s">
        <v>313</v>
      </c>
      <c r="F156" s="181" t="s">
        <v>313</v>
      </c>
      <c r="G156" s="181"/>
    </row>
    <row r="157" spans="1:7" ht="15.75">
      <c r="A157" s="181" t="s">
        <v>148</v>
      </c>
      <c r="B157" s="181" t="s">
        <v>502</v>
      </c>
      <c r="C157" s="181" t="s">
        <v>68</v>
      </c>
      <c r="D157" s="181" t="s">
        <v>503</v>
      </c>
      <c r="E157" s="181" t="s">
        <v>503</v>
      </c>
      <c r="F157" s="181" t="s">
        <v>503</v>
      </c>
      <c r="G157" s="181"/>
    </row>
    <row r="158" spans="1:7" ht="15.75">
      <c r="A158" s="181" t="s">
        <v>154</v>
      </c>
      <c r="B158" s="181" t="s">
        <v>504</v>
      </c>
      <c r="C158" s="181" t="s">
        <v>68</v>
      </c>
      <c r="D158" s="181" t="s">
        <v>75</v>
      </c>
      <c r="E158" s="181" t="s">
        <v>75</v>
      </c>
      <c r="F158" s="181" t="s">
        <v>75</v>
      </c>
      <c r="G158" s="181"/>
    </row>
    <row r="159" spans="1:7" ht="31.5">
      <c r="A159" s="181" t="s">
        <v>154</v>
      </c>
      <c r="B159" s="181" t="s">
        <v>505</v>
      </c>
      <c r="C159" s="181" t="s">
        <v>68</v>
      </c>
      <c r="D159" s="181" t="s">
        <v>82</v>
      </c>
      <c r="E159" s="181" t="s">
        <v>506</v>
      </c>
      <c r="F159" s="181" t="s">
        <v>506</v>
      </c>
      <c r="G159" s="181"/>
    </row>
    <row r="160" spans="1:7" ht="15.75">
      <c r="A160" s="181" t="s">
        <v>154</v>
      </c>
      <c r="B160" s="181" t="s">
        <v>507</v>
      </c>
      <c r="C160" s="181" t="s">
        <v>68</v>
      </c>
      <c r="D160" s="181" t="s">
        <v>82</v>
      </c>
      <c r="E160" s="181" t="s">
        <v>508</v>
      </c>
      <c r="F160" s="181" t="s">
        <v>508</v>
      </c>
      <c r="G160" s="181"/>
    </row>
  </sheetData>
  <sheetProtection password="D83E" sheet="1" objects="1" scenarios="1"/>
  <autoFilter ref="A1:G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28"/>
  <sheetViews>
    <sheetView zoomScale="90" zoomScaleNormal="90" zoomScalePageLayoutView="0" workbookViewId="0" topLeftCell="A10">
      <selection activeCell="A1" sqref="A1"/>
    </sheetView>
  </sheetViews>
  <sheetFormatPr defaultColWidth="9.00390625" defaultRowHeight="15.75"/>
  <cols>
    <col min="1" max="1" width="19.00390625" style="6" bestFit="1" customWidth="1"/>
    <col min="2" max="2" width="16.125" style="8" bestFit="1" customWidth="1"/>
    <col min="3" max="3" width="13.125" style="8" bestFit="1" customWidth="1"/>
    <col min="4" max="4" width="15.125" style="8" bestFit="1" customWidth="1"/>
    <col min="5" max="5" width="23.375" style="8" bestFit="1" customWidth="1"/>
    <col min="6" max="6" width="20.625" style="8" bestFit="1" customWidth="1"/>
    <col min="7" max="16384" width="9.00390625" style="6" customWidth="1"/>
  </cols>
  <sheetData>
    <row r="1" spans="1:6" ht="33" customHeight="1">
      <c r="A1" s="19" t="s">
        <v>16</v>
      </c>
      <c r="B1" s="19" t="s">
        <v>20</v>
      </c>
      <c r="C1" s="20" t="s">
        <v>26</v>
      </c>
      <c r="D1" s="20" t="s">
        <v>17</v>
      </c>
      <c r="E1" s="20" t="s">
        <v>45</v>
      </c>
      <c r="F1" s="21" t="s">
        <v>23</v>
      </c>
    </row>
    <row r="2" spans="1:6" ht="15.75">
      <c r="A2" s="12" t="s">
        <v>48</v>
      </c>
      <c r="B2" s="9" t="s">
        <v>49</v>
      </c>
      <c r="C2" s="13">
        <v>12</v>
      </c>
      <c r="D2" s="13">
        <v>64</v>
      </c>
      <c r="E2" s="13">
        <v>450</v>
      </c>
      <c r="F2" s="14" t="s">
        <v>50</v>
      </c>
    </row>
    <row r="3" spans="1:6" ht="15.75">
      <c r="A3" s="22" t="s">
        <v>51</v>
      </c>
      <c r="B3" s="23" t="s">
        <v>49</v>
      </c>
      <c r="C3" s="24">
        <v>12</v>
      </c>
      <c r="D3" s="24">
        <v>56</v>
      </c>
      <c r="E3" s="24">
        <v>450</v>
      </c>
      <c r="F3" s="25" t="s">
        <v>50</v>
      </c>
    </row>
    <row r="4" spans="1:6" ht="15.75">
      <c r="A4" s="12" t="s">
        <v>28</v>
      </c>
      <c r="B4" s="9" t="s">
        <v>22</v>
      </c>
      <c r="C4" s="13">
        <v>12</v>
      </c>
      <c r="D4" s="13">
        <v>48</v>
      </c>
      <c r="E4" s="13">
        <v>450</v>
      </c>
      <c r="F4" s="14" t="s">
        <v>24</v>
      </c>
    </row>
    <row r="5" spans="1:6" ht="15.75">
      <c r="A5" s="22" t="s">
        <v>29</v>
      </c>
      <c r="B5" s="23" t="s">
        <v>22</v>
      </c>
      <c r="C5" s="24">
        <v>12</v>
      </c>
      <c r="D5" s="24">
        <v>40</v>
      </c>
      <c r="E5" s="24">
        <v>450</v>
      </c>
      <c r="F5" s="25" t="s">
        <v>24</v>
      </c>
    </row>
    <row r="6" spans="1:6" ht="15.75">
      <c r="A6" s="12" t="s">
        <v>30</v>
      </c>
      <c r="B6" s="9" t="s">
        <v>22</v>
      </c>
      <c r="C6" s="13">
        <v>8</v>
      </c>
      <c r="D6" s="13">
        <v>48</v>
      </c>
      <c r="E6" s="13">
        <v>400</v>
      </c>
      <c r="F6" s="14" t="s">
        <v>24</v>
      </c>
    </row>
    <row r="7" spans="1:6" ht="15.75">
      <c r="A7" s="22" t="s">
        <v>31</v>
      </c>
      <c r="B7" s="23" t="s">
        <v>22</v>
      </c>
      <c r="C7" s="24">
        <v>8</v>
      </c>
      <c r="D7" s="24">
        <v>40</v>
      </c>
      <c r="E7" s="24">
        <f aca="true" t="shared" si="0" ref="E7:E13">E$6</f>
        <v>400</v>
      </c>
      <c r="F7" s="25" t="s">
        <v>24</v>
      </c>
    </row>
    <row r="8" spans="1:6" ht="15.75">
      <c r="A8" s="12" t="s">
        <v>32</v>
      </c>
      <c r="B8" s="9" t="s">
        <v>22</v>
      </c>
      <c r="C8" s="13">
        <v>8</v>
      </c>
      <c r="D8" s="13">
        <v>32</v>
      </c>
      <c r="E8" s="13">
        <f t="shared" si="0"/>
        <v>400</v>
      </c>
      <c r="F8" s="14" t="s">
        <v>24</v>
      </c>
    </row>
    <row r="9" spans="1:6" ht="15.75">
      <c r="A9" s="22" t="s">
        <v>33</v>
      </c>
      <c r="B9" s="23" t="s">
        <v>22</v>
      </c>
      <c r="C9" s="24">
        <v>8</v>
      </c>
      <c r="D9" s="24">
        <v>24</v>
      </c>
      <c r="E9" s="24">
        <f t="shared" si="0"/>
        <v>400</v>
      </c>
      <c r="F9" s="25" t="s">
        <v>24</v>
      </c>
    </row>
    <row r="10" spans="1:6" ht="15.75">
      <c r="A10" s="12" t="s">
        <v>34</v>
      </c>
      <c r="B10" s="9" t="s">
        <v>21</v>
      </c>
      <c r="C10" s="13">
        <v>8</v>
      </c>
      <c r="D10" s="13">
        <v>48</v>
      </c>
      <c r="E10" s="13">
        <f t="shared" si="0"/>
        <v>400</v>
      </c>
      <c r="F10" s="14" t="s">
        <v>24</v>
      </c>
    </row>
    <row r="11" spans="1:6" ht="15.75">
      <c r="A11" s="22" t="s">
        <v>35</v>
      </c>
      <c r="B11" s="23" t="s">
        <v>21</v>
      </c>
      <c r="C11" s="24">
        <v>8</v>
      </c>
      <c r="D11" s="24">
        <v>40</v>
      </c>
      <c r="E11" s="24">
        <f t="shared" si="0"/>
        <v>400</v>
      </c>
      <c r="F11" s="25" t="s">
        <v>24</v>
      </c>
    </row>
    <row r="12" spans="1:6" ht="15.75">
      <c r="A12" s="12" t="s">
        <v>36</v>
      </c>
      <c r="B12" s="9" t="s">
        <v>21</v>
      </c>
      <c r="C12" s="13">
        <v>8</v>
      </c>
      <c r="D12" s="13">
        <v>32</v>
      </c>
      <c r="E12" s="13">
        <f t="shared" si="0"/>
        <v>400</v>
      </c>
      <c r="F12" s="14" t="s">
        <v>24</v>
      </c>
    </row>
    <row r="13" spans="1:6" ht="15.75">
      <c r="A13" s="22" t="s">
        <v>37</v>
      </c>
      <c r="B13" s="23" t="s">
        <v>21</v>
      </c>
      <c r="C13" s="24">
        <v>8</v>
      </c>
      <c r="D13" s="24">
        <v>24</v>
      </c>
      <c r="E13" s="24">
        <f t="shared" si="0"/>
        <v>400</v>
      </c>
      <c r="F13" s="25" t="s">
        <v>24</v>
      </c>
    </row>
    <row r="14" spans="1:6" ht="15.75">
      <c r="A14" s="12" t="s">
        <v>509</v>
      </c>
      <c r="B14" s="9" t="s">
        <v>21</v>
      </c>
      <c r="C14" s="13">
        <v>6</v>
      </c>
      <c r="D14" s="13">
        <v>20</v>
      </c>
      <c r="E14" s="13">
        <v>330</v>
      </c>
      <c r="F14" s="14" t="s">
        <v>515</v>
      </c>
    </row>
    <row r="15" spans="1:6" ht="15.75">
      <c r="A15" s="22" t="s">
        <v>510</v>
      </c>
      <c r="B15" s="23" t="s">
        <v>21</v>
      </c>
      <c r="C15" s="24">
        <v>6</v>
      </c>
      <c r="D15" s="24">
        <v>16</v>
      </c>
      <c r="E15" s="24">
        <v>330</v>
      </c>
      <c r="F15" s="25" t="s">
        <v>515</v>
      </c>
    </row>
    <row r="16" spans="1:6" ht="15.75">
      <c r="A16" s="12" t="s">
        <v>511</v>
      </c>
      <c r="B16" s="9" t="s">
        <v>21</v>
      </c>
      <c r="C16" s="13">
        <v>6</v>
      </c>
      <c r="D16" s="13">
        <v>12</v>
      </c>
      <c r="E16" s="13">
        <v>330</v>
      </c>
      <c r="F16" s="14" t="s">
        <v>515</v>
      </c>
    </row>
    <row r="17" spans="1:6" ht="15.75">
      <c r="A17" s="22" t="s">
        <v>27</v>
      </c>
      <c r="B17" s="23" t="s">
        <v>22</v>
      </c>
      <c r="C17" s="24">
        <v>4</v>
      </c>
      <c r="D17" s="24">
        <v>16</v>
      </c>
      <c r="E17" s="24">
        <v>176</v>
      </c>
      <c r="F17" s="25" t="s">
        <v>24</v>
      </c>
    </row>
    <row r="18" spans="1:6" ht="15.75">
      <c r="A18" s="12" t="s">
        <v>18</v>
      </c>
      <c r="B18" s="9" t="s">
        <v>22</v>
      </c>
      <c r="C18" s="13">
        <v>4</v>
      </c>
      <c r="D18" s="13">
        <v>12</v>
      </c>
      <c r="E18" s="13">
        <v>176</v>
      </c>
      <c r="F18" s="14" t="s">
        <v>24</v>
      </c>
    </row>
    <row r="19" spans="1:6" ht="15.75">
      <c r="A19" s="22" t="s">
        <v>19</v>
      </c>
      <c r="B19" s="23" t="s">
        <v>22</v>
      </c>
      <c r="C19" s="24">
        <v>4</v>
      </c>
      <c r="D19" s="24">
        <v>8</v>
      </c>
      <c r="E19" s="24">
        <v>176</v>
      </c>
      <c r="F19" s="25" t="s">
        <v>24</v>
      </c>
    </row>
    <row r="20" spans="1:6" ht="15.75">
      <c r="A20" s="12" t="s">
        <v>512</v>
      </c>
      <c r="B20" s="9" t="s">
        <v>21</v>
      </c>
      <c r="C20" s="13">
        <v>4</v>
      </c>
      <c r="D20" s="13">
        <v>16</v>
      </c>
      <c r="E20" s="13">
        <v>250</v>
      </c>
      <c r="F20" s="14" t="s">
        <v>515</v>
      </c>
    </row>
    <row r="21" spans="1:6" ht="15.75">
      <c r="A21" s="22" t="s">
        <v>513</v>
      </c>
      <c r="B21" s="23" t="s">
        <v>21</v>
      </c>
      <c r="C21" s="24">
        <v>4</v>
      </c>
      <c r="D21" s="24">
        <v>12</v>
      </c>
      <c r="E21" s="24">
        <v>250</v>
      </c>
      <c r="F21" s="25" t="s">
        <v>515</v>
      </c>
    </row>
    <row r="22" spans="1:6" ht="15.75">
      <c r="A22" s="12" t="s">
        <v>514</v>
      </c>
      <c r="B22" s="9" t="s">
        <v>21</v>
      </c>
      <c r="C22" s="13">
        <v>4</v>
      </c>
      <c r="D22" s="13">
        <v>8</v>
      </c>
      <c r="E22" s="13">
        <v>250</v>
      </c>
      <c r="F22" s="14" t="s">
        <v>515</v>
      </c>
    </row>
    <row r="23" spans="1:6" ht="15.75">
      <c r="A23" s="22" t="s">
        <v>38</v>
      </c>
      <c r="B23" s="23" t="s">
        <v>21</v>
      </c>
      <c r="C23" s="24">
        <v>2</v>
      </c>
      <c r="D23" s="24">
        <v>12</v>
      </c>
      <c r="E23" s="24">
        <v>176</v>
      </c>
      <c r="F23" s="25" t="s">
        <v>24</v>
      </c>
    </row>
    <row r="24" spans="1:6" ht="15.75">
      <c r="A24" s="12" t="s">
        <v>39</v>
      </c>
      <c r="B24" s="9" t="s">
        <v>21</v>
      </c>
      <c r="C24" s="13">
        <v>2</v>
      </c>
      <c r="D24" s="13">
        <v>8</v>
      </c>
      <c r="E24" s="13">
        <v>176</v>
      </c>
      <c r="F24" s="14" t="s">
        <v>24</v>
      </c>
    </row>
    <row r="25" spans="1:6" ht="15.75">
      <c r="A25" s="22" t="s">
        <v>40</v>
      </c>
      <c r="B25" s="23" t="s">
        <v>21</v>
      </c>
      <c r="C25" s="24">
        <v>2</v>
      </c>
      <c r="D25" s="24">
        <v>4</v>
      </c>
      <c r="E25" s="24">
        <v>176</v>
      </c>
      <c r="F25" s="25" t="s">
        <v>24</v>
      </c>
    </row>
    <row r="26" spans="1:6" ht="15.75">
      <c r="A26" s="12" t="s">
        <v>41</v>
      </c>
      <c r="B26" s="9" t="s">
        <v>42</v>
      </c>
      <c r="C26" s="13">
        <v>2</v>
      </c>
      <c r="D26" s="13">
        <v>8</v>
      </c>
      <c r="E26" s="13">
        <v>28</v>
      </c>
      <c r="F26" s="14" t="s">
        <v>25</v>
      </c>
    </row>
    <row r="27" spans="1:6" ht="15.75">
      <c r="A27" s="22" t="s">
        <v>43</v>
      </c>
      <c r="B27" s="23" t="s">
        <v>42</v>
      </c>
      <c r="C27" s="24">
        <v>2</v>
      </c>
      <c r="D27" s="24">
        <v>4</v>
      </c>
      <c r="E27" s="24">
        <v>28</v>
      </c>
      <c r="F27" s="25" t="s">
        <v>25</v>
      </c>
    </row>
    <row r="28" spans="1:6" ht="16.5" thickBot="1">
      <c r="A28" s="15" t="s">
        <v>12</v>
      </c>
      <c r="B28" s="16" t="s">
        <v>42</v>
      </c>
      <c r="C28" s="17">
        <v>1</v>
      </c>
      <c r="D28" s="17">
        <v>4</v>
      </c>
      <c r="E28" s="17">
        <v>28</v>
      </c>
      <c r="F28" s="18" t="s">
        <v>25</v>
      </c>
    </row>
  </sheetData>
  <sheetProtection password="D83E" sheet="1"/>
  <autoFilter ref="A1:F28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875" style="58" bestFit="1" customWidth="1"/>
    <col min="2" max="2" width="73.125" style="58" bestFit="1" customWidth="1"/>
    <col min="3" max="16384" width="9.00390625" style="58" customWidth="1"/>
  </cols>
  <sheetData>
    <row r="1" spans="1:2" ht="15.75">
      <c r="A1" s="65" t="s">
        <v>173</v>
      </c>
      <c r="B1" s="66" t="s">
        <v>174</v>
      </c>
    </row>
    <row r="2" spans="1:2" ht="15.75">
      <c r="A2" s="67" t="s">
        <v>156</v>
      </c>
      <c r="B2" s="68" t="s">
        <v>157</v>
      </c>
    </row>
    <row r="3" spans="1:2" ht="15.75">
      <c r="A3" s="67" t="s">
        <v>158</v>
      </c>
      <c r="B3" s="68" t="s">
        <v>172</v>
      </c>
    </row>
    <row r="4" spans="1:2" ht="15.75">
      <c r="A4" s="67" t="s">
        <v>163</v>
      </c>
      <c r="B4" s="68" t="s">
        <v>164</v>
      </c>
    </row>
    <row r="5" spans="1:2" ht="15.75">
      <c r="A5" s="67" t="s">
        <v>166</v>
      </c>
      <c r="B5" s="68" t="s">
        <v>165</v>
      </c>
    </row>
    <row r="6" spans="1:2" ht="15.75">
      <c r="A6" s="67" t="s">
        <v>161</v>
      </c>
      <c r="B6" s="68" t="s">
        <v>162</v>
      </c>
    </row>
    <row r="7" spans="1:2" ht="15.75">
      <c r="A7" s="67" t="s">
        <v>167</v>
      </c>
      <c r="B7" s="68" t="s">
        <v>168</v>
      </c>
    </row>
    <row r="8" spans="1:2" ht="16.5" thickBot="1">
      <c r="A8" s="69" t="s">
        <v>159</v>
      </c>
      <c r="B8" s="70" t="s">
        <v>160</v>
      </c>
    </row>
  </sheetData>
  <sheetProtection password="D83E" sheet="1"/>
  <hyperlinks>
    <hyperlink ref="B2" r:id="rId1" display="http://www.axis.com/zh/products/video/design_tool/v2/"/>
    <hyperlink ref="B3" r:id="rId2" display="http://www.acti.com/project_planner/WEBSITE/storage.html"/>
    <hyperlink ref="B8" r:id="rId3" display="http://www.vivotek.com/downloadfiles/support/faq/24_calculator.zip"/>
    <hyperlink ref="B6" r:id="rId4" display="http://www.iqeye.com/storage-calculator.html"/>
    <hyperlink ref="B4" r:id="rId5" display="http://www.arecontvision.com/supports/bandwidth-calculator"/>
    <hyperlink ref="B5" r:id="rId6" display="http://es.brickcom.com/support/calculator.php"/>
    <hyperlink ref="B7" r:id="rId7" display="http://panasonic.net/pcc/support/netwkcam/technic/rcrdr_calculator/index.html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2012-05-30T11:03:17Z</cp:lastPrinted>
  <dcterms:created xsi:type="dcterms:W3CDTF">2009-06-01T03:36:57Z</dcterms:created>
  <dcterms:modified xsi:type="dcterms:W3CDTF">2013-01-18T10:02:07Z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